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\\svpip05\新ファイルサーバー\04税務住民課\税務係\国保\"/>
    </mc:Choice>
  </mc:AlternateContent>
  <bookViews>
    <workbookView xWindow="0" yWindow="0" windowWidth="28800" windowHeight="12450"/>
  </bookViews>
  <sheets>
    <sheet name="試算シート" sheetId="1" r:id="rId1"/>
    <sheet name="計算シート" sheetId="4" state="hidden" r:id="rId2"/>
    <sheet name="算定基礎データ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4" l="1"/>
  <c r="A1" i="1" s="1"/>
  <c r="L34" i="4" l="1"/>
  <c r="L28" i="4"/>
  <c r="L22" i="4"/>
  <c r="M10" i="4" l="1"/>
  <c r="M16" i="4"/>
  <c r="M22" i="4"/>
  <c r="M28" i="4"/>
  <c r="M34" i="4"/>
  <c r="M40" i="4" l="1"/>
  <c r="A37" i="4"/>
  <c r="A34" i="4"/>
  <c r="A31" i="4"/>
  <c r="A28" i="4"/>
  <c r="A25" i="4"/>
  <c r="A22" i="4"/>
  <c r="A19" i="4"/>
  <c r="A16" i="4"/>
  <c r="A13" i="4"/>
  <c r="A10" i="4"/>
  <c r="E24" i="1"/>
  <c r="D24" i="1"/>
  <c r="C24" i="1"/>
  <c r="B5" i="4" l="1"/>
  <c r="G6" i="4"/>
  <c r="E68" i="4"/>
  <c r="E72" i="4"/>
  <c r="E71" i="4"/>
  <c r="O28" i="4" s="1"/>
  <c r="E70" i="4"/>
  <c r="O22" i="4" s="1"/>
  <c r="E69" i="4"/>
  <c r="E64" i="4"/>
  <c r="E63" i="4"/>
  <c r="E62" i="4"/>
  <c r="E61" i="4"/>
  <c r="E60" i="4"/>
  <c r="E56" i="4"/>
  <c r="E55" i="4"/>
  <c r="E54" i="4"/>
  <c r="E53" i="4"/>
  <c r="E52" i="4"/>
  <c r="C10" i="4"/>
  <c r="D10" i="4" s="1"/>
  <c r="C44" i="4"/>
  <c r="C45" i="4"/>
  <c r="C46" i="4"/>
  <c r="C47" i="4"/>
  <c r="C48" i="4"/>
  <c r="B48" i="4"/>
  <c r="B47" i="4"/>
  <c r="B46" i="4"/>
  <c r="B45" i="4"/>
  <c r="B44" i="4"/>
  <c r="O10" i="4" l="1"/>
  <c r="O16" i="4"/>
  <c r="B72" i="4"/>
  <c r="O34" i="4"/>
  <c r="B70" i="4"/>
  <c r="N28" i="4"/>
  <c r="B71" i="4"/>
  <c r="E15" i="4"/>
  <c r="E12" i="4"/>
  <c r="E10" i="4"/>
  <c r="E14" i="4"/>
  <c r="E11" i="4"/>
  <c r="E13" i="4"/>
  <c r="C49" i="4"/>
  <c r="B49" i="4"/>
  <c r="H36" i="1" s="1"/>
  <c r="C34" i="4"/>
  <c r="D34" i="4" s="1"/>
  <c r="C28" i="4"/>
  <c r="D28" i="4" s="1"/>
  <c r="C22" i="4"/>
  <c r="D22" i="4" s="1"/>
  <c r="C16" i="4"/>
  <c r="D16" i="4" s="1"/>
  <c r="E35" i="1" l="1"/>
  <c r="E21" i="4"/>
  <c r="E20" i="4"/>
  <c r="E16" i="4"/>
  <c r="E19" i="4"/>
  <c r="E18" i="4"/>
  <c r="E17" i="4"/>
  <c r="F10" i="4"/>
  <c r="E24" i="4"/>
  <c r="E23" i="4"/>
  <c r="E25" i="4"/>
  <c r="E27" i="4"/>
  <c r="E22" i="4"/>
  <c r="E26" i="4"/>
  <c r="E39" i="4"/>
  <c r="E38" i="4"/>
  <c r="E37" i="4"/>
  <c r="E34" i="4"/>
  <c r="E36" i="4"/>
  <c r="E35" i="4"/>
  <c r="E31" i="4"/>
  <c r="E33" i="4"/>
  <c r="E30" i="4"/>
  <c r="E32" i="4"/>
  <c r="E29" i="4"/>
  <c r="E28" i="4"/>
  <c r="H6" i="4"/>
  <c r="F6" i="4"/>
  <c r="D6" i="4"/>
  <c r="C36" i="1"/>
  <c r="F1" i="4"/>
  <c r="H35" i="1"/>
  <c r="B35" i="1"/>
  <c r="B4" i="4"/>
  <c r="F3" i="4"/>
  <c r="B6" i="4"/>
  <c r="D4" i="4"/>
  <c r="F4" i="4"/>
  <c r="I35" i="1" s="1"/>
  <c r="D2" i="4"/>
  <c r="F34" i="1" s="1"/>
  <c r="D5" i="4"/>
  <c r="F36" i="1" s="1"/>
  <c r="F5" i="4"/>
  <c r="I36" i="1" s="1"/>
  <c r="D3" i="4"/>
  <c r="F2" i="4"/>
  <c r="I34" i="1" s="1"/>
  <c r="B2" i="4"/>
  <c r="B3" i="4"/>
  <c r="B54" i="4" l="1"/>
  <c r="B52" i="4"/>
  <c r="C34" i="1"/>
  <c r="C35" i="1"/>
  <c r="C52" i="4"/>
  <c r="B69" i="4"/>
  <c r="B68" i="4"/>
  <c r="B10" i="4"/>
  <c r="G10" i="4"/>
  <c r="H10" i="4" s="1"/>
  <c r="B13" i="4"/>
  <c r="B56" i="4"/>
  <c r="B55" i="4"/>
  <c r="B53" i="4"/>
  <c r="B64" i="4"/>
  <c r="B60" i="4"/>
  <c r="B63" i="4"/>
  <c r="B61" i="4"/>
  <c r="B62" i="4"/>
  <c r="F22" i="4"/>
  <c r="F16" i="4"/>
  <c r="F28" i="4"/>
  <c r="D70" i="4"/>
  <c r="F35" i="1"/>
  <c r="C64" i="4"/>
  <c r="D54" i="4"/>
  <c r="D55" i="4"/>
  <c r="D53" i="4"/>
  <c r="D56" i="4"/>
  <c r="D52" i="4"/>
  <c r="D61" i="4"/>
  <c r="D64" i="4"/>
  <c r="D62" i="4"/>
  <c r="C61" i="4"/>
  <c r="C60" i="4"/>
  <c r="C62" i="4"/>
  <c r="C63" i="4"/>
  <c r="D60" i="4"/>
  <c r="D71" i="4"/>
  <c r="D69" i="4"/>
  <c r="D68" i="4"/>
  <c r="D72" i="4"/>
  <c r="C71" i="4"/>
  <c r="C68" i="4"/>
  <c r="C70" i="4"/>
  <c r="C69" i="4"/>
  <c r="C72" i="4"/>
  <c r="C56" i="4"/>
  <c r="C53" i="4"/>
  <c r="C54" i="4"/>
  <c r="C55" i="4"/>
  <c r="D63" i="4"/>
  <c r="B73" i="4" l="1"/>
  <c r="J10" i="4"/>
  <c r="I10" i="4"/>
  <c r="G22" i="4"/>
  <c r="H22" i="4" s="1"/>
  <c r="B25" i="4"/>
  <c r="B22" i="4"/>
  <c r="G28" i="4"/>
  <c r="B28" i="4"/>
  <c r="B31" i="4"/>
  <c r="G16" i="4"/>
  <c r="H16" i="4" s="1"/>
  <c r="B19" i="4"/>
  <c r="B16" i="4"/>
  <c r="I16" i="4" s="1"/>
  <c r="B65" i="4"/>
  <c r="B57" i="4"/>
  <c r="A70" i="4"/>
  <c r="D57" i="4"/>
  <c r="D36" i="1" s="1"/>
  <c r="D73" i="4"/>
  <c r="J36" i="1" s="1"/>
  <c r="D65" i="4"/>
  <c r="G36" i="1" s="1"/>
  <c r="C65" i="4"/>
  <c r="G35" i="1" s="1"/>
  <c r="C73" i="4"/>
  <c r="J35" i="1" s="1"/>
  <c r="C57" i="4"/>
  <c r="D35" i="1" s="1"/>
  <c r="I22" i="4" l="1"/>
  <c r="K22" i="4" s="1"/>
  <c r="I28" i="4"/>
  <c r="K28" i="4" s="1"/>
  <c r="K16" i="4"/>
  <c r="L16" i="4" s="1"/>
  <c r="A53" i="4" s="1"/>
  <c r="J16" i="4"/>
  <c r="K10" i="4"/>
  <c r="L10" i="4" s="1"/>
  <c r="J22" i="4"/>
  <c r="N22" i="4"/>
  <c r="H28" i="4"/>
  <c r="J28" i="4" s="1"/>
  <c r="A69" i="4" l="1"/>
  <c r="N16" i="4"/>
  <c r="A61" i="4"/>
  <c r="L40" i="4"/>
  <c r="A52" i="4"/>
  <c r="A68" i="4"/>
  <c r="A60" i="4"/>
  <c r="N10" i="4"/>
  <c r="A72" i="4"/>
  <c r="N34" i="4" l="1"/>
  <c r="N40" i="4" s="1"/>
  <c r="A71" i="4"/>
  <c r="A73" i="4" s="1"/>
  <c r="H34" i="1" l="1"/>
  <c r="J34" i="1"/>
  <c r="F73" i="4"/>
  <c r="E73" i="4"/>
  <c r="G73" i="4" s="1"/>
  <c r="I37" i="1" s="1"/>
  <c r="H73" i="4" l="1"/>
  <c r="H37" i="1"/>
  <c r="F34" i="4"/>
  <c r="G34" i="4" l="1"/>
  <c r="H34" i="4" s="1"/>
  <c r="B34" i="4"/>
  <c r="B37" i="4"/>
  <c r="I34" i="4" l="1"/>
  <c r="K34" i="4" s="1"/>
  <c r="I40" i="4"/>
  <c r="J34" i="4"/>
  <c r="J40" i="4" s="1"/>
  <c r="G51" i="4" s="1"/>
  <c r="A56" i="4"/>
  <c r="G61" i="4" l="1"/>
  <c r="G55" i="4"/>
  <c r="G53" i="4"/>
  <c r="G69" i="4"/>
  <c r="I39" i="1" s="1"/>
  <c r="A64" i="4"/>
  <c r="C39" i="1" l="1"/>
  <c r="I38" i="1"/>
  <c r="F39" i="1"/>
  <c r="F38" i="1"/>
  <c r="G63" i="4"/>
  <c r="F40" i="1" s="1"/>
  <c r="C38" i="1"/>
  <c r="G71" i="4"/>
  <c r="I40" i="1" s="1"/>
  <c r="I41" i="1" s="1"/>
  <c r="H42" i="1" s="1"/>
  <c r="H43" i="1" s="1"/>
  <c r="C40" i="1"/>
  <c r="A62" i="4"/>
  <c r="A54" i="4"/>
  <c r="C41" i="1" l="1"/>
  <c r="F41" i="1"/>
  <c r="B34" i="1"/>
  <c r="E34" i="1"/>
  <c r="A63" i="4"/>
  <c r="A55" i="4"/>
  <c r="A57" i="4" s="1"/>
  <c r="A65" i="4"/>
  <c r="D34" i="1" l="1"/>
  <c r="E57" i="4"/>
  <c r="F57" i="4"/>
  <c r="G34" i="1"/>
  <c r="E65" i="4"/>
  <c r="F65" i="4"/>
  <c r="G57" i="4" l="1"/>
  <c r="H57" i="4" s="1"/>
  <c r="G65" i="4"/>
  <c r="F37" i="1" s="1"/>
  <c r="C37" i="1" l="1"/>
  <c r="B37" i="1" s="1"/>
  <c r="E37" i="1"/>
  <c r="E42" i="1"/>
  <c r="E43" i="1" s="1"/>
  <c r="H65" i="4"/>
  <c r="B42" i="1" l="1"/>
  <c r="B43" i="1" s="1"/>
  <c r="H26" i="1" s="1"/>
  <c r="C49" i="1" l="1"/>
  <c r="F49" i="1"/>
  <c r="H49" i="1"/>
  <c r="D49" i="1"/>
  <c r="G49" i="1"/>
  <c r="I49" i="1"/>
  <c r="E49" i="1"/>
  <c r="B49" i="1" l="1"/>
</calcChain>
</file>

<file path=xl/comments1.xml><?xml version="1.0" encoding="utf-8"?>
<comments xmlns="http://schemas.openxmlformats.org/spreadsheetml/2006/main">
  <authors>
    <author>立田 清治</author>
  </authors>
  <commentList>
    <comment ref="G51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国保法が改正されたら修正</t>
        </r>
      </text>
    </comment>
  </commentList>
</comments>
</file>

<file path=xl/sharedStrings.xml><?xml version="1.0" encoding="utf-8"?>
<sst xmlns="http://schemas.openxmlformats.org/spreadsheetml/2006/main" count="175" uniqueCount="153">
  <si>
    <t>世帯主</t>
    <rPh sb="0" eb="3">
      <t>セタイヌシ</t>
    </rPh>
    <phoneticPr fontId="2"/>
  </si>
  <si>
    <t>世帯員１</t>
    <rPh sb="0" eb="3">
      <t>セタイイン</t>
    </rPh>
    <phoneticPr fontId="2"/>
  </si>
  <si>
    <t>世帯員２</t>
    <rPh sb="0" eb="3">
      <t>セタイイン</t>
    </rPh>
    <phoneticPr fontId="2"/>
  </si>
  <si>
    <t>世帯員３</t>
    <rPh sb="0" eb="3">
      <t>セタイイン</t>
    </rPh>
    <phoneticPr fontId="2"/>
  </si>
  <si>
    <t>世帯員４</t>
    <rPh sb="0" eb="3">
      <t>セタイイン</t>
    </rPh>
    <phoneticPr fontId="2"/>
  </si>
  <si>
    <t>給与収入</t>
    <rPh sb="0" eb="2">
      <t>キュウヨ</t>
    </rPh>
    <rPh sb="2" eb="4">
      <t>シュウニュウ</t>
    </rPh>
    <phoneticPr fontId="2"/>
  </si>
  <si>
    <t>その他所得</t>
    <rPh sb="2" eb="3">
      <t>タ</t>
    </rPh>
    <rPh sb="3" eb="5">
      <t>ショトク</t>
    </rPh>
    <phoneticPr fontId="2"/>
  </si>
  <si>
    <t>No.</t>
  </si>
  <si>
    <t>年度</t>
    <rPh sb="0" eb="2">
      <t>ネンド</t>
    </rPh>
    <phoneticPr fontId="4"/>
  </si>
  <si>
    <t>医所得</t>
    <rPh sb="0" eb="1">
      <t>イ</t>
    </rPh>
    <rPh sb="1" eb="3">
      <t>ショトク</t>
    </rPh>
    <phoneticPr fontId="4"/>
  </si>
  <si>
    <t>医資産</t>
    <rPh sb="0" eb="1">
      <t>イ</t>
    </rPh>
    <rPh sb="1" eb="3">
      <t>シサン</t>
    </rPh>
    <phoneticPr fontId="4"/>
  </si>
  <si>
    <t>医均等</t>
    <rPh sb="0" eb="1">
      <t>イ</t>
    </rPh>
    <rPh sb="1" eb="3">
      <t>キントウ</t>
    </rPh>
    <phoneticPr fontId="4"/>
  </si>
  <si>
    <t>医平等</t>
    <rPh sb="0" eb="1">
      <t>イ</t>
    </rPh>
    <rPh sb="1" eb="3">
      <t>ビョウドウ</t>
    </rPh>
    <phoneticPr fontId="4"/>
  </si>
  <si>
    <t>後所得</t>
    <rPh sb="0" eb="1">
      <t>アト</t>
    </rPh>
    <rPh sb="1" eb="3">
      <t>ショトク</t>
    </rPh>
    <phoneticPr fontId="4"/>
  </si>
  <si>
    <t>後資産</t>
    <rPh sb="0" eb="1">
      <t>アト</t>
    </rPh>
    <rPh sb="1" eb="3">
      <t>シサン</t>
    </rPh>
    <phoneticPr fontId="4"/>
  </si>
  <si>
    <t>後均等</t>
    <rPh sb="0" eb="1">
      <t>アト</t>
    </rPh>
    <rPh sb="1" eb="3">
      <t>キントウ</t>
    </rPh>
    <phoneticPr fontId="4"/>
  </si>
  <si>
    <t>後平等</t>
    <rPh sb="0" eb="1">
      <t>アト</t>
    </rPh>
    <rPh sb="1" eb="3">
      <t>ビョウドウ</t>
    </rPh>
    <phoneticPr fontId="4"/>
  </si>
  <si>
    <t>介所得</t>
    <rPh sb="0" eb="1">
      <t>スケ</t>
    </rPh>
    <rPh sb="1" eb="3">
      <t>ショトク</t>
    </rPh>
    <phoneticPr fontId="4"/>
  </si>
  <si>
    <t>介資産</t>
    <rPh sb="0" eb="1">
      <t>スケ</t>
    </rPh>
    <rPh sb="1" eb="3">
      <t>シサン</t>
    </rPh>
    <phoneticPr fontId="4"/>
  </si>
  <si>
    <t>介均等</t>
    <rPh sb="0" eb="1">
      <t>スケ</t>
    </rPh>
    <rPh sb="1" eb="3">
      <t>キントウ</t>
    </rPh>
    <phoneticPr fontId="4"/>
  </si>
  <si>
    <t>介平等</t>
    <rPh sb="0" eb="1">
      <t>スケ</t>
    </rPh>
    <rPh sb="1" eb="3">
      <t>ビョウドウ</t>
    </rPh>
    <phoneticPr fontId="4"/>
  </si>
  <si>
    <t>医限度</t>
    <rPh sb="0" eb="1">
      <t>イ</t>
    </rPh>
    <rPh sb="1" eb="3">
      <t>ゲンド</t>
    </rPh>
    <phoneticPr fontId="4"/>
  </si>
  <si>
    <t>後限度</t>
    <rPh sb="0" eb="1">
      <t>アト</t>
    </rPh>
    <rPh sb="1" eb="3">
      <t>ゲンド</t>
    </rPh>
    <phoneticPr fontId="4"/>
  </si>
  <si>
    <t>介限度</t>
    <rPh sb="0" eb="1">
      <t>スケ</t>
    </rPh>
    <rPh sb="1" eb="3">
      <t>ゲンド</t>
    </rPh>
    <phoneticPr fontId="4"/>
  </si>
  <si>
    <t>月数</t>
    <rPh sb="0" eb="2">
      <t>ツキスウ</t>
    </rPh>
    <phoneticPr fontId="4"/>
  </si>
  <si>
    <t>年齢</t>
    <rPh sb="0" eb="2">
      <t>ネンレイ</t>
    </rPh>
    <phoneticPr fontId="4"/>
  </si>
  <si>
    <t>加入しない</t>
    <rPh sb="0" eb="2">
      <t>カニュウ</t>
    </rPh>
    <phoneticPr fontId="4"/>
  </si>
  <si>
    <t>1期</t>
    <rPh sb="1" eb="2">
      <t>キ</t>
    </rPh>
    <phoneticPr fontId="2"/>
  </si>
  <si>
    <t>2期</t>
    <rPh sb="1" eb="2">
      <t>キ</t>
    </rPh>
    <phoneticPr fontId="2"/>
  </si>
  <si>
    <t>3期</t>
    <rPh sb="1" eb="2">
      <t>キ</t>
    </rPh>
    <phoneticPr fontId="2"/>
  </si>
  <si>
    <t>4期</t>
    <rPh sb="1" eb="2">
      <t>キ</t>
    </rPh>
    <phoneticPr fontId="2"/>
  </si>
  <si>
    <t>5期</t>
    <rPh sb="1" eb="2">
      <t>キ</t>
    </rPh>
    <phoneticPr fontId="2"/>
  </si>
  <si>
    <t>6期</t>
    <rPh sb="1" eb="2">
      <t>キ</t>
    </rPh>
    <phoneticPr fontId="2"/>
  </si>
  <si>
    <t>7期</t>
    <rPh sb="1" eb="2">
      <t>キ</t>
    </rPh>
    <phoneticPr fontId="2"/>
  </si>
  <si>
    <t>8期</t>
    <rPh sb="1" eb="2">
      <t>キ</t>
    </rPh>
    <phoneticPr fontId="2"/>
  </si>
  <si>
    <t>7月</t>
    <rPh sb="1" eb="2">
      <t>ガツ</t>
    </rPh>
    <phoneticPr fontId="2"/>
  </si>
  <si>
    <t>8月</t>
    <rPh sb="1" eb="2">
      <t>ガツ</t>
    </rPh>
    <phoneticPr fontId="2"/>
  </si>
  <si>
    <t>9月</t>
  </si>
  <si>
    <t>10月</t>
  </si>
  <si>
    <t>11月</t>
  </si>
  <si>
    <t>12月</t>
  </si>
  <si>
    <t>1月</t>
  </si>
  <si>
    <t>2月</t>
  </si>
  <si>
    <t>※国民健康保険税の納期は7月～翌年2月までの計8回払です。</t>
    <rPh sb="1" eb="3">
      <t>コクミン</t>
    </rPh>
    <rPh sb="3" eb="5">
      <t>ケンコウ</t>
    </rPh>
    <rPh sb="5" eb="7">
      <t>ホケン</t>
    </rPh>
    <rPh sb="7" eb="8">
      <t>ゼイ</t>
    </rPh>
    <rPh sb="9" eb="11">
      <t>ノウキ</t>
    </rPh>
    <rPh sb="13" eb="14">
      <t>ガツ</t>
    </rPh>
    <rPh sb="15" eb="17">
      <t>ヨクネン</t>
    </rPh>
    <rPh sb="18" eb="19">
      <t>ガツ</t>
    </rPh>
    <rPh sb="22" eb="23">
      <t>ケイ</t>
    </rPh>
    <rPh sb="24" eb="25">
      <t>カイ</t>
    </rPh>
    <rPh sb="25" eb="26">
      <t>ハラ</t>
    </rPh>
    <phoneticPr fontId="2"/>
  </si>
  <si>
    <t>医療分</t>
    <rPh sb="0" eb="2">
      <t>イリョウ</t>
    </rPh>
    <rPh sb="2" eb="3">
      <t>ブン</t>
    </rPh>
    <phoneticPr fontId="2"/>
  </si>
  <si>
    <t>後期高齢者支援金分</t>
    <rPh sb="0" eb="2">
      <t>コウキ</t>
    </rPh>
    <rPh sb="2" eb="5">
      <t>コウレイシャ</t>
    </rPh>
    <rPh sb="5" eb="8">
      <t>シエンキン</t>
    </rPh>
    <rPh sb="8" eb="9">
      <t>ブン</t>
    </rPh>
    <phoneticPr fontId="2"/>
  </si>
  <si>
    <t>介護納付金分</t>
    <rPh sb="0" eb="2">
      <t>カイゴ</t>
    </rPh>
    <rPh sb="2" eb="5">
      <t>ノウフキン</t>
    </rPh>
    <rPh sb="5" eb="6">
      <t>ブン</t>
    </rPh>
    <phoneticPr fontId="2"/>
  </si>
  <si>
    <t>所得割額</t>
    <rPh sb="0" eb="2">
      <t>ショトク</t>
    </rPh>
    <rPh sb="2" eb="3">
      <t>ワリ</t>
    </rPh>
    <rPh sb="3" eb="4">
      <t>ガク</t>
    </rPh>
    <phoneticPr fontId="2"/>
  </si>
  <si>
    <t>均等割額</t>
    <rPh sb="0" eb="3">
      <t>キントウワリ</t>
    </rPh>
    <rPh sb="3" eb="4">
      <t>ガク</t>
    </rPh>
    <phoneticPr fontId="2"/>
  </si>
  <si>
    <t>平等割額</t>
    <rPh sb="0" eb="2">
      <t>ビョウドウ</t>
    </rPh>
    <rPh sb="2" eb="3">
      <t>ワリ</t>
    </rPh>
    <rPh sb="3" eb="4">
      <t>ガク</t>
    </rPh>
    <phoneticPr fontId="2"/>
  </si>
  <si>
    <t>税額</t>
    <rPh sb="0" eb="1">
      <t>ゼイ</t>
    </rPh>
    <rPh sb="1" eb="2">
      <t>ガク</t>
    </rPh>
    <phoneticPr fontId="2"/>
  </si>
  <si>
    <t>税率等</t>
    <rPh sb="0" eb="2">
      <t>ゼイリツ</t>
    </rPh>
    <rPh sb="2" eb="3">
      <t>ナド</t>
    </rPh>
    <phoneticPr fontId="2"/>
  </si>
  <si>
    <t>合計</t>
    <rPh sb="0" eb="2">
      <t>ゴウケイ</t>
    </rPh>
    <phoneticPr fontId="2"/>
  </si>
  <si>
    <t>軽減区分</t>
    <rPh sb="0" eb="2">
      <t>ケイゲン</t>
    </rPh>
    <rPh sb="2" eb="4">
      <t>クブン</t>
    </rPh>
    <phoneticPr fontId="2"/>
  </si>
  <si>
    <t>軽減額計</t>
    <rPh sb="0" eb="2">
      <t>ケイゲン</t>
    </rPh>
    <rPh sb="2" eb="3">
      <t>ガク</t>
    </rPh>
    <rPh sb="3" eb="4">
      <t>ケイ</t>
    </rPh>
    <phoneticPr fontId="2"/>
  </si>
  <si>
    <t>軽減額</t>
    <rPh sb="0" eb="2">
      <t>ケイゲン</t>
    </rPh>
    <rPh sb="2" eb="3">
      <t>ガク</t>
    </rPh>
    <phoneticPr fontId="2"/>
  </si>
  <si>
    <t>課税標準</t>
    <rPh sb="0" eb="2">
      <t>カゼイ</t>
    </rPh>
    <rPh sb="2" eb="4">
      <t>ヒョウジュン</t>
    </rPh>
    <phoneticPr fontId="2"/>
  </si>
  <si>
    <t>該当年度</t>
    <rPh sb="0" eb="2">
      <t>ガイトウ</t>
    </rPh>
    <rPh sb="2" eb="4">
      <t>ネンド</t>
    </rPh>
    <phoneticPr fontId="2"/>
  </si>
  <si>
    <t>医療利用月</t>
    <rPh sb="0" eb="2">
      <t>イリョウ</t>
    </rPh>
    <rPh sb="2" eb="4">
      <t>リヨウ</t>
    </rPh>
    <rPh sb="4" eb="5">
      <t>ヅキ</t>
    </rPh>
    <phoneticPr fontId="2"/>
  </si>
  <si>
    <t>介護利用月</t>
    <rPh sb="0" eb="2">
      <t>カイゴ</t>
    </rPh>
    <rPh sb="2" eb="4">
      <t>リヨウ</t>
    </rPh>
    <rPh sb="4" eb="5">
      <t>ヅキ</t>
    </rPh>
    <phoneticPr fontId="2"/>
  </si>
  <si>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2"/>
  </si>
  <si>
    <t>医療資産割額</t>
    <rPh sb="0" eb="2">
      <t>イリョウ</t>
    </rPh>
    <rPh sb="2" eb="4">
      <t>シサン</t>
    </rPh>
    <rPh sb="4" eb="5">
      <t>ワリ</t>
    </rPh>
    <rPh sb="5" eb="6">
      <t>ガク</t>
    </rPh>
    <phoneticPr fontId="2"/>
  </si>
  <si>
    <t>医療均等割額</t>
    <rPh sb="0" eb="2">
      <t>イリョウ</t>
    </rPh>
    <rPh sb="2" eb="5">
      <t>キントウワリ</t>
    </rPh>
    <rPh sb="5" eb="6">
      <t>ガク</t>
    </rPh>
    <phoneticPr fontId="2"/>
  </si>
  <si>
    <t>医療平等割額</t>
    <rPh sb="0" eb="2">
      <t>イリョウ</t>
    </rPh>
    <rPh sb="2" eb="4">
      <t>ビョウドウ</t>
    </rPh>
    <rPh sb="4" eb="5">
      <t>ワリ</t>
    </rPh>
    <rPh sb="5" eb="6">
      <t>ガク</t>
    </rPh>
    <phoneticPr fontId="2"/>
  </si>
  <si>
    <t>医療給付分</t>
    <rPh sb="0" eb="2">
      <t>イリョウ</t>
    </rPh>
    <rPh sb="2" eb="4">
      <t>キュウフ</t>
    </rPh>
    <rPh sb="4" eb="5">
      <t>ブン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</si>
  <si>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2"/>
  </si>
  <si>
    <t>支援資産割額</t>
    <rPh sb="0" eb="2">
      <t>シエン</t>
    </rPh>
    <rPh sb="2" eb="4">
      <t>シサン</t>
    </rPh>
    <rPh sb="4" eb="5">
      <t>ワリ</t>
    </rPh>
    <rPh sb="5" eb="6">
      <t>ガク</t>
    </rPh>
    <phoneticPr fontId="2"/>
  </si>
  <si>
    <t>支援均等割額</t>
    <rPh sb="0" eb="2">
      <t>シエン</t>
    </rPh>
    <rPh sb="2" eb="5">
      <t>キントウワリ</t>
    </rPh>
    <rPh sb="5" eb="6">
      <t>ガク</t>
    </rPh>
    <phoneticPr fontId="2"/>
  </si>
  <si>
    <t>支援平等割額</t>
    <rPh sb="0" eb="2">
      <t>シエン</t>
    </rPh>
    <rPh sb="2" eb="4">
      <t>ビョウドウ</t>
    </rPh>
    <rPh sb="4" eb="5">
      <t>ワリ</t>
    </rPh>
    <rPh sb="5" eb="6">
      <t>ガク</t>
    </rPh>
    <phoneticPr fontId="2"/>
  </si>
  <si>
    <t>後期高齢者支援分</t>
    <rPh sb="0" eb="2">
      <t>コウキ</t>
    </rPh>
    <rPh sb="2" eb="5">
      <t>コウレイシャ</t>
    </rPh>
    <rPh sb="5" eb="7">
      <t>シエン</t>
    </rPh>
    <rPh sb="7" eb="8">
      <t>ブン</t>
    </rPh>
    <phoneticPr fontId="2"/>
  </si>
  <si>
    <t>介護所得割額</t>
    <rPh sb="0" eb="2">
      <t>カイゴ</t>
    </rPh>
    <rPh sb="2" eb="4">
      <t>ショトク</t>
    </rPh>
    <rPh sb="4" eb="5">
      <t>ワリ</t>
    </rPh>
    <rPh sb="5" eb="6">
      <t>ガク</t>
    </rPh>
    <phoneticPr fontId="2"/>
  </si>
  <si>
    <t>介護資産割額</t>
    <rPh sb="0" eb="2">
      <t>カイゴ</t>
    </rPh>
    <rPh sb="2" eb="4">
      <t>シサン</t>
    </rPh>
    <rPh sb="4" eb="5">
      <t>ワリ</t>
    </rPh>
    <rPh sb="5" eb="6">
      <t>ガク</t>
    </rPh>
    <phoneticPr fontId="2"/>
  </si>
  <si>
    <t>介護均等割額</t>
    <rPh sb="0" eb="2">
      <t>カイゴ</t>
    </rPh>
    <rPh sb="2" eb="5">
      <t>キントウワリ</t>
    </rPh>
    <rPh sb="5" eb="6">
      <t>ガク</t>
    </rPh>
    <phoneticPr fontId="2"/>
  </si>
  <si>
    <t>介護平等割額</t>
    <rPh sb="0" eb="2">
      <t>カイゴ</t>
    </rPh>
    <rPh sb="2" eb="4">
      <t>ビョウドウ</t>
    </rPh>
    <rPh sb="4" eb="5">
      <t>ワリ</t>
    </rPh>
    <rPh sb="5" eb="6">
      <t>ガク</t>
    </rPh>
    <phoneticPr fontId="2"/>
  </si>
  <si>
    <t>医療所得割額</t>
    <rPh sb="0" eb="2">
      <t>イリョウ</t>
    </rPh>
    <rPh sb="2" eb="4">
      <t>ショトク</t>
    </rPh>
    <rPh sb="4" eb="5">
      <t>ワリ</t>
    </rPh>
    <rPh sb="5" eb="6">
      <t>ガク</t>
    </rPh>
    <phoneticPr fontId="4"/>
  </si>
  <si>
    <t>医療資産割額</t>
    <rPh sb="0" eb="2">
      <t>イリョウ</t>
    </rPh>
    <rPh sb="2" eb="4">
      <t>シサン</t>
    </rPh>
    <rPh sb="4" eb="5">
      <t>ワリ</t>
    </rPh>
    <rPh sb="5" eb="6">
      <t>ガク</t>
    </rPh>
    <phoneticPr fontId="4"/>
  </si>
  <si>
    <t>医療均等割額</t>
    <rPh sb="0" eb="2">
      <t>イリョウ</t>
    </rPh>
    <rPh sb="2" eb="5">
      <t>キントウワリ</t>
    </rPh>
    <rPh sb="5" eb="6">
      <t>ガク</t>
    </rPh>
    <phoneticPr fontId="4"/>
  </si>
  <si>
    <t>医療平等割額</t>
    <rPh sb="0" eb="2">
      <t>イリョウ</t>
    </rPh>
    <rPh sb="2" eb="4">
      <t>ビョウドウ</t>
    </rPh>
    <rPh sb="4" eb="5">
      <t>ワリ</t>
    </rPh>
    <rPh sb="5" eb="6">
      <t>ガク</t>
    </rPh>
    <phoneticPr fontId="4"/>
  </si>
  <si>
    <t>医療加入月数</t>
    <rPh sb="0" eb="2">
      <t>イリョウ</t>
    </rPh>
    <rPh sb="2" eb="4">
      <t>カニュウ</t>
    </rPh>
    <rPh sb="4" eb="5">
      <t>ツキ</t>
    </rPh>
    <rPh sb="5" eb="6">
      <t>スウ</t>
    </rPh>
    <phoneticPr fontId="4"/>
  </si>
  <si>
    <t>次のシートの算定基礎データ番号を入力</t>
    <rPh sb="0" eb="1">
      <t>ツギ</t>
    </rPh>
    <rPh sb="6" eb="8">
      <t>サンテイ</t>
    </rPh>
    <rPh sb="8" eb="10">
      <t>キソ</t>
    </rPh>
    <rPh sb="13" eb="15">
      <t>バンゴウ</t>
    </rPh>
    <rPh sb="16" eb="18">
      <t>ニュウリョク</t>
    </rPh>
    <phoneticPr fontId="2"/>
  </si>
  <si>
    <t>給与所得</t>
    <rPh sb="0" eb="2">
      <t>キュウヨ</t>
    </rPh>
    <rPh sb="2" eb="4">
      <t>ショトク</t>
    </rPh>
    <phoneticPr fontId="2"/>
  </si>
  <si>
    <t>年金所得</t>
    <rPh sb="0" eb="2">
      <t>ネンキン</t>
    </rPh>
    <rPh sb="2" eb="4">
      <t>ショトク</t>
    </rPh>
    <phoneticPr fontId="2"/>
  </si>
  <si>
    <t>その他所得</t>
    <rPh sb="2" eb="3">
      <t>タ</t>
    </rPh>
    <rPh sb="3" eb="5">
      <t>ショトク</t>
    </rPh>
    <phoneticPr fontId="2"/>
  </si>
  <si>
    <t>固定資産税</t>
    <rPh sb="0" eb="2">
      <t>コテイ</t>
    </rPh>
    <rPh sb="2" eb="5">
      <t>シサンゼイ</t>
    </rPh>
    <phoneticPr fontId="2"/>
  </si>
  <si>
    <t>介護判定</t>
    <rPh sb="0" eb="2">
      <t>カイゴ</t>
    </rPh>
    <rPh sb="2" eb="4">
      <t>ハンテイ</t>
    </rPh>
    <phoneticPr fontId="2"/>
  </si>
  <si>
    <t>資格区分</t>
    <rPh sb="0" eb="2">
      <t>シカク</t>
    </rPh>
    <rPh sb="2" eb="4">
      <t>クブン</t>
    </rPh>
    <phoneticPr fontId="2"/>
  </si>
  <si>
    <t>加入人数計算</t>
    <rPh sb="0" eb="2">
      <t>カニュウ</t>
    </rPh>
    <rPh sb="2" eb="4">
      <t>ニンズウ</t>
    </rPh>
    <rPh sb="4" eb="6">
      <t>ケイサン</t>
    </rPh>
    <phoneticPr fontId="2"/>
  </si>
  <si>
    <t>加入区分</t>
    <rPh sb="0" eb="2">
      <t>カニュウ</t>
    </rPh>
    <rPh sb="2" eb="4">
      <t>クブン</t>
    </rPh>
    <phoneticPr fontId="2"/>
  </si>
  <si>
    <t>総所得金額</t>
    <rPh sb="0" eb="3">
      <t>ソウショトク</t>
    </rPh>
    <rPh sb="3" eb="5">
      <t>キンガク</t>
    </rPh>
    <phoneticPr fontId="2"/>
  </si>
  <si>
    <t>支援所得割額</t>
    <rPh sb="0" eb="2">
      <t>シエン</t>
    </rPh>
    <rPh sb="2" eb="4">
      <t>ショトク</t>
    </rPh>
    <rPh sb="4" eb="5">
      <t>ワリ</t>
    </rPh>
    <rPh sb="5" eb="6">
      <t>ガク</t>
    </rPh>
    <phoneticPr fontId="4"/>
  </si>
  <si>
    <t>支援資産割額</t>
    <rPh sb="0" eb="2">
      <t>シエン</t>
    </rPh>
    <rPh sb="2" eb="4">
      <t>シサン</t>
    </rPh>
    <rPh sb="4" eb="5">
      <t>ワリ</t>
    </rPh>
    <rPh sb="5" eb="6">
      <t>ガク</t>
    </rPh>
    <phoneticPr fontId="4"/>
  </si>
  <si>
    <t>支援均等割額</t>
    <rPh sb="0" eb="2">
      <t>シエン</t>
    </rPh>
    <rPh sb="2" eb="5">
      <t>キントウワリ</t>
    </rPh>
    <rPh sb="5" eb="6">
      <t>ガク</t>
    </rPh>
    <phoneticPr fontId="4"/>
  </si>
  <si>
    <t>支援平等割額</t>
    <rPh sb="0" eb="2">
      <t>シエン</t>
    </rPh>
    <rPh sb="2" eb="4">
      <t>ビョウドウ</t>
    </rPh>
    <rPh sb="4" eb="5">
      <t>ワリ</t>
    </rPh>
    <rPh sb="5" eb="6">
      <t>ガク</t>
    </rPh>
    <phoneticPr fontId="4"/>
  </si>
  <si>
    <t>支援加入月数</t>
    <rPh sb="0" eb="2">
      <t>シエン</t>
    </rPh>
    <rPh sb="2" eb="4">
      <t>カニュウ</t>
    </rPh>
    <rPh sb="4" eb="5">
      <t>ツキ</t>
    </rPh>
    <rPh sb="5" eb="6">
      <t>スウ</t>
    </rPh>
    <phoneticPr fontId="4"/>
  </si>
  <si>
    <t>介護所得割額</t>
    <rPh sb="0" eb="2">
      <t>カイゴ</t>
    </rPh>
    <rPh sb="2" eb="4">
      <t>ショトク</t>
    </rPh>
    <rPh sb="4" eb="5">
      <t>ワリ</t>
    </rPh>
    <rPh sb="5" eb="6">
      <t>ガク</t>
    </rPh>
    <phoneticPr fontId="4"/>
  </si>
  <si>
    <t>介護資産割額</t>
    <rPh sb="0" eb="2">
      <t>カイゴ</t>
    </rPh>
    <rPh sb="2" eb="4">
      <t>シサン</t>
    </rPh>
    <rPh sb="4" eb="5">
      <t>ワリ</t>
    </rPh>
    <rPh sb="5" eb="6">
      <t>ガク</t>
    </rPh>
    <phoneticPr fontId="4"/>
  </si>
  <si>
    <t>介護均等割額</t>
    <rPh sb="0" eb="2">
      <t>カイゴ</t>
    </rPh>
    <rPh sb="2" eb="5">
      <t>キントウワリ</t>
    </rPh>
    <rPh sb="5" eb="6">
      <t>ガク</t>
    </rPh>
    <phoneticPr fontId="4"/>
  </si>
  <si>
    <t>介護平等割額</t>
    <rPh sb="0" eb="2">
      <t>カイゴ</t>
    </rPh>
    <rPh sb="2" eb="4">
      <t>ビョウドウ</t>
    </rPh>
    <rPh sb="4" eb="5">
      <t>ワリ</t>
    </rPh>
    <rPh sb="5" eb="6">
      <t>ガク</t>
    </rPh>
    <phoneticPr fontId="4"/>
  </si>
  <si>
    <t>介護加入月数</t>
    <rPh sb="0" eb="2">
      <t>カイゴ</t>
    </rPh>
    <rPh sb="2" eb="4">
      <t>カニュウ</t>
    </rPh>
    <rPh sb="4" eb="5">
      <t>ツキ</t>
    </rPh>
    <rPh sb="5" eb="6">
      <t>スウ</t>
    </rPh>
    <phoneticPr fontId="4"/>
  </si>
  <si>
    <t>軽減判定所得額</t>
    <rPh sb="0" eb="2">
      <t>ケイゲン</t>
    </rPh>
    <rPh sb="2" eb="4">
      <t>ハンテイ</t>
    </rPh>
    <rPh sb="4" eb="6">
      <t>ショトク</t>
    </rPh>
    <rPh sb="6" eb="7">
      <t>ガク</t>
    </rPh>
    <phoneticPr fontId="2"/>
  </si>
  <si>
    <t>基準所得額</t>
    <rPh sb="0" eb="2">
      <t>キジュン</t>
    </rPh>
    <rPh sb="2" eb="4">
      <t>ショトク</t>
    </rPh>
    <rPh sb="4" eb="5">
      <t>ガク</t>
    </rPh>
    <phoneticPr fontId="2"/>
  </si>
  <si>
    <t>年金所得合計</t>
    <rPh sb="0" eb="2">
      <t>ネンキン</t>
    </rPh>
    <rPh sb="2" eb="4">
      <t>ショトク</t>
    </rPh>
    <rPh sb="4" eb="6">
      <t>ゴウケイ</t>
    </rPh>
    <phoneticPr fontId="2"/>
  </si>
  <si>
    <t>軽減判定用年金所得</t>
    <rPh sb="0" eb="2">
      <t>ケイゲン</t>
    </rPh>
    <rPh sb="2" eb="5">
      <t>ハンテイヨウ</t>
    </rPh>
    <rPh sb="5" eb="7">
      <t>ネンキン</t>
    </rPh>
    <rPh sb="7" eb="9">
      <t>ショトク</t>
    </rPh>
    <phoneticPr fontId="2"/>
  </si>
  <si>
    <t>軽減判定区分</t>
    <rPh sb="0" eb="2">
      <t>ケイゲン</t>
    </rPh>
    <rPh sb="2" eb="4">
      <t>ハンテイ</t>
    </rPh>
    <rPh sb="4" eb="6">
      <t>クブン</t>
    </rPh>
    <phoneticPr fontId="2"/>
  </si>
  <si>
    <t>軽減均等割</t>
    <rPh sb="0" eb="2">
      <t>ケイゲン</t>
    </rPh>
    <rPh sb="2" eb="5">
      <t>キントウワリ</t>
    </rPh>
    <phoneticPr fontId="2"/>
  </si>
  <si>
    <t>軽減平等割</t>
    <rPh sb="0" eb="2">
      <t>ケイゲン</t>
    </rPh>
    <rPh sb="2" eb="4">
      <t>ビョウドウ</t>
    </rPh>
    <rPh sb="4" eb="5">
      <t>ワリ</t>
    </rPh>
    <phoneticPr fontId="2"/>
  </si>
  <si>
    <t>（端数又は限度超過額）</t>
    <rPh sb="1" eb="3">
      <t>ハスウ</t>
    </rPh>
    <rPh sb="3" eb="4">
      <t>マタ</t>
    </rPh>
    <rPh sb="5" eb="7">
      <t>ゲンド</t>
    </rPh>
    <rPh sb="7" eb="9">
      <t>チョウカ</t>
    </rPh>
    <rPh sb="9" eb="10">
      <t>ガク</t>
    </rPh>
    <phoneticPr fontId="2"/>
  </si>
  <si>
    <t>軽減均等割額</t>
    <rPh sb="0" eb="2">
      <t>ケイゲン</t>
    </rPh>
    <rPh sb="2" eb="5">
      <t>キントウワリ</t>
    </rPh>
    <rPh sb="5" eb="6">
      <t>ガク</t>
    </rPh>
    <phoneticPr fontId="2"/>
  </si>
  <si>
    <t>軽減平等割額</t>
    <rPh sb="0" eb="2">
      <t>ケイゲン</t>
    </rPh>
    <rPh sb="2" eb="4">
      <t>ビョウドウ</t>
    </rPh>
    <rPh sb="4" eb="5">
      <t>ワリ</t>
    </rPh>
    <rPh sb="5" eb="6">
      <t>ガク</t>
    </rPh>
    <phoneticPr fontId="2"/>
  </si>
  <si>
    <t>介護用所得</t>
    <rPh sb="0" eb="3">
      <t>カイゴヨウ</t>
    </rPh>
    <rPh sb="3" eb="5">
      <t>ショトク</t>
    </rPh>
    <phoneticPr fontId="2"/>
  </si>
  <si>
    <t>介護用資産</t>
    <rPh sb="0" eb="2">
      <t>カイゴ</t>
    </rPh>
    <rPh sb="2" eb="3">
      <t>ヨウ</t>
    </rPh>
    <rPh sb="3" eb="5">
      <t>シサン</t>
    </rPh>
    <phoneticPr fontId="2"/>
  </si>
  <si>
    <t>算定額</t>
    <rPh sb="0" eb="2">
      <t>サンテイ</t>
    </rPh>
    <rPh sb="2" eb="3">
      <t>ガク</t>
    </rPh>
    <phoneticPr fontId="2"/>
  </si>
  <si>
    <t>※端数調整後</t>
    <rPh sb="1" eb="3">
      <t>ハスウ</t>
    </rPh>
    <rPh sb="3" eb="6">
      <t>チョウセイゴ</t>
    </rPh>
    <phoneticPr fontId="2"/>
  </si>
  <si>
    <t>（内訳）</t>
    <rPh sb="1" eb="3">
      <t>ウチワケ</t>
    </rPh>
    <phoneticPr fontId="2"/>
  </si>
  <si>
    <t>↑税率試算設定</t>
    <rPh sb="1" eb="3">
      <t>ゼイリツ</t>
    </rPh>
    <rPh sb="3" eb="5">
      <t>シサン</t>
    </rPh>
    <rPh sb="5" eb="7">
      <t>セッテイ</t>
    </rPh>
    <phoneticPr fontId="2"/>
  </si>
  <si>
    <t>5割軽減</t>
    <rPh sb="1" eb="2">
      <t>ワリ</t>
    </rPh>
    <rPh sb="2" eb="4">
      <t>ケイゲン</t>
    </rPh>
    <phoneticPr fontId="2"/>
  </si>
  <si>
    <t>2割軽減</t>
    <rPh sb="1" eb="2">
      <t>ワリ</t>
    </rPh>
    <rPh sb="2" eb="4">
      <t>ケイゲン</t>
    </rPh>
    <phoneticPr fontId="2"/>
  </si>
  <si>
    <t>2割軽減判定</t>
    <rPh sb="1" eb="2">
      <t>ワリ</t>
    </rPh>
    <rPh sb="2" eb="4">
      <t>ケイゲン</t>
    </rPh>
    <rPh sb="4" eb="6">
      <t>ハンテイ</t>
    </rPh>
    <phoneticPr fontId="2"/>
  </si>
  <si>
    <t>5割軽減判定</t>
    <rPh sb="1" eb="2">
      <t>ワリ</t>
    </rPh>
    <rPh sb="2" eb="4">
      <t>ケイゲン</t>
    </rPh>
    <rPh sb="4" eb="6">
      <t>ハンテイ</t>
    </rPh>
    <phoneticPr fontId="2"/>
  </si>
  <si>
    <t>①世帯の中に後期高齢者医療保険の被保険者がいる場合。</t>
    <rPh sb="1" eb="3">
      <t>セタイ</t>
    </rPh>
    <rPh sb="4" eb="5">
      <t>ナカ</t>
    </rPh>
    <rPh sb="6" eb="8">
      <t>コウキ</t>
    </rPh>
    <rPh sb="8" eb="11">
      <t>コウレイシャ</t>
    </rPh>
    <rPh sb="11" eb="13">
      <t>イリョウ</t>
    </rPh>
    <rPh sb="13" eb="15">
      <t>ホケン</t>
    </rPh>
    <rPh sb="16" eb="20">
      <t>ヒホケンジャ</t>
    </rPh>
    <rPh sb="23" eb="25">
      <t>バアイ</t>
    </rPh>
    <phoneticPr fontId="2"/>
  </si>
  <si>
    <t>②非自発的失業者に係る軽減を受けている場合。</t>
    <rPh sb="1" eb="2">
      <t>ヒ</t>
    </rPh>
    <rPh sb="2" eb="5">
      <t>ジハツテキ</t>
    </rPh>
    <rPh sb="5" eb="7">
      <t>シツギョウ</t>
    </rPh>
    <rPh sb="7" eb="8">
      <t>シャ</t>
    </rPh>
    <rPh sb="9" eb="10">
      <t>カカ</t>
    </rPh>
    <rPh sb="11" eb="13">
      <t>ケイゲン</t>
    </rPh>
    <rPh sb="14" eb="15">
      <t>ウ</t>
    </rPh>
    <rPh sb="19" eb="21">
      <t>バアイ</t>
    </rPh>
    <phoneticPr fontId="2"/>
  </si>
  <si>
    <t>加入者の収入・所得・資産状況</t>
    <rPh sb="0" eb="3">
      <t>カニュウシャ</t>
    </rPh>
    <rPh sb="4" eb="6">
      <t>シュウニュウ</t>
    </rPh>
    <rPh sb="7" eb="9">
      <t>ショトク</t>
    </rPh>
    <rPh sb="10" eb="12">
      <t>シサン</t>
    </rPh>
    <rPh sb="12" eb="14">
      <t>ジョウキョウ</t>
    </rPh>
    <phoneticPr fontId="2"/>
  </si>
  <si>
    <t>他の社会保険と異なり、毎月払いではありません。</t>
    <rPh sb="0" eb="1">
      <t>ホカ</t>
    </rPh>
    <rPh sb="2" eb="4">
      <t>シャカイ</t>
    </rPh>
    <rPh sb="4" eb="6">
      <t>ホケン</t>
    </rPh>
    <rPh sb="7" eb="8">
      <t>コト</t>
    </rPh>
    <rPh sb="11" eb="13">
      <t>マイツキ</t>
    </rPh>
    <rPh sb="13" eb="14">
      <t>バラ</t>
    </rPh>
    <phoneticPr fontId="2"/>
  </si>
  <si>
    <t>介護納付金分（40～64歳）</t>
    <rPh sb="0" eb="2">
      <t>カイゴ</t>
    </rPh>
    <rPh sb="2" eb="5">
      <t>ノウフキン</t>
    </rPh>
    <rPh sb="5" eb="6">
      <t>ブン</t>
    </rPh>
    <rPh sb="12" eb="13">
      <t>サイ</t>
    </rPh>
    <phoneticPr fontId="2"/>
  </si>
  <si>
    <t>0歳～39歳</t>
    <rPh sb="1" eb="2">
      <t>サイ</t>
    </rPh>
    <rPh sb="5" eb="6">
      <t>サイ</t>
    </rPh>
    <phoneticPr fontId="4"/>
  </si>
  <si>
    <t>40歳～64歳</t>
    <rPh sb="2" eb="3">
      <t>サイ</t>
    </rPh>
    <rPh sb="6" eb="7">
      <t>サイ</t>
    </rPh>
    <phoneticPr fontId="4"/>
  </si>
  <si>
    <t>65歳～74歳</t>
    <rPh sb="2" eb="3">
      <t>サイ</t>
    </rPh>
    <rPh sb="6" eb="7">
      <t>サイ</t>
    </rPh>
    <phoneticPr fontId="4"/>
  </si>
  <si>
    <t>公的年金収入</t>
    <rPh sb="0" eb="2">
      <t>コウテキ</t>
    </rPh>
    <rPh sb="2" eb="4">
      <t>ネンキン</t>
    </rPh>
    <rPh sb="4" eb="6">
      <t>シュウニュウ</t>
    </rPh>
    <phoneticPr fontId="2"/>
  </si>
  <si>
    <t>③年度途中で40歳、65歳又は75歳になられる方がいる場合。</t>
    <rPh sb="1" eb="3">
      <t>ネンド</t>
    </rPh>
    <rPh sb="3" eb="5">
      <t>トチュウ</t>
    </rPh>
    <rPh sb="8" eb="9">
      <t>サイ</t>
    </rPh>
    <rPh sb="12" eb="13">
      <t>サイ</t>
    </rPh>
    <rPh sb="13" eb="14">
      <t>マタ</t>
    </rPh>
    <rPh sb="17" eb="18">
      <t>サイ</t>
    </rPh>
    <rPh sb="23" eb="24">
      <t>カタ</t>
    </rPh>
    <rPh sb="27" eb="29">
      <t>バアイ</t>
    </rPh>
    <phoneticPr fontId="2"/>
  </si>
  <si>
    <t>　２　黄色いセルに収入額を入力してください。</t>
    <rPh sb="3" eb="5">
      <t>キイロ</t>
    </rPh>
    <rPh sb="9" eb="11">
      <t>シュウニュウ</t>
    </rPh>
    <rPh sb="11" eb="12">
      <t>ガク</t>
    </rPh>
    <rPh sb="13" eb="15">
      <t>ニュウリョク</t>
    </rPh>
    <phoneticPr fontId="2"/>
  </si>
  <si>
    <t>令和元年度</t>
    <rPh sb="0" eb="1">
      <t>レイ</t>
    </rPh>
    <rPh sb="1" eb="2">
      <t>ワ</t>
    </rPh>
    <rPh sb="2" eb="3">
      <t>ガン</t>
    </rPh>
    <rPh sb="3" eb="5">
      <t>ネンド</t>
    </rPh>
    <phoneticPr fontId="2"/>
  </si>
  <si>
    <r>
      <rPr>
        <sz val="11"/>
        <color rgb="FFC00000"/>
        <rFont val="メイリオ"/>
        <family val="3"/>
        <charset val="128"/>
      </rPr>
      <t>　　</t>
    </r>
    <r>
      <rPr>
        <sz val="11"/>
        <rFont val="メイリオ"/>
        <family val="3"/>
        <charset val="128"/>
      </rPr>
      <t>※</t>
    </r>
    <r>
      <rPr>
        <sz val="11"/>
        <color rgb="FFC00000"/>
        <rFont val="メイリオ"/>
        <family val="3"/>
        <charset val="128"/>
      </rPr>
      <t>　</t>
    </r>
    <r>
      <rPr>
        <sz val="11"/>
        <rFont val="メイリオ"/>
        <family val="3"/>
        <charset val="128"/>
      </rPr>
      <t>確定申告している方は、</t>
    </r>
    <r>
      <rPr>
        <sz val="11"/>
        <color rgb="FFC00000"/>
        <rFont val="メイリオ"/>
        <family val="3"/>
        <charset val="128"/>
      </rPr>
      <t>その他所得欄に合計所得の額</t>
    </r>
    <r>
      <rPr>
        <sz val="11"/>
        <rFont val="メイリオ"/>
        <family val="3"/>
        <charset val="128"/>
      </rPr>
      <t>を入力してください。</t>
    </r>
    <rPh sb="4" eb="6">
      <t>カクテイ</t>
    </rPh>
    <rPh sb="6" eb="8">
      <t>シンコク</t>
    </rPh>
    <rPh sb="12" eb="13">
      <t>カタ</t>
    </rPh>
    <rPh sb="17" eb="18">
      <t>タ</t>
    </rPh>
    <rPh sb="18" eb="20">
      <t>ショトク</t>
    </rPh>
    <rPh sb="20" eb="21">
      <t>ラン</t>
    </rPh>
    <rPh sb="27" eb="28">
      <t>ガク</t>
    </rPh>
    <rPh sb="29" eb="31">
      <t>ニュウリョク</t>
    </rPh>
    <phoneticPr fontId="2"/>
  </si>
  <si>
    <t>　　※　退職所得は入力しません。</t>
    <rPh sb="4" eb="6">
      <t>タイショク</t>
    </rPh>
    <rPh sb="6" eb="8">
      <t>ショトク</t>
    </rPh>
    <rPh sb="9" eb="11">
      <t>ニュウリョク</t>
    </rPh>
    <phoneticPr fontId="2"/>
  </si>
  <si>
    <t>※以下の場合は実際の課税額と異なる可能性があるため、税務住民課税務係（0166-85-4803）までお問い合わせください。</t>
    <rPh sb="1" eb="3">
      <t>イカ</t>
    </rPh>
    <rPh sb="4" eb="6">
      <t>バアイ</t>
    </rPh>
    <rPh sb="7" eb="9">
      <t>ジッサイ</t>
    </rPh>
    <rPh sb="10" eb="13">
      <t>カゼイガク</t>
    </rPh>
    <rPh sb="14" eb="15">
      <t>コト</t>
    </rPh>
    <rPh sb="17" eb="20">
      <t>カノウセイ</t>
    </rPh>
    <rPh sb="26" eb="28">
      <t>ゼイム</t>
    </rPh>
    <rPh sb="28" eb="31">
      <t>ジュウミンカ</t>
    </rPh>
    <rPh sb="31" eb="33">
      <t>ゼイム</t>
    </rPh>
    <rPh sb="33" eb="34">
      <t>ガカリ</t>
    </rPh>
    <rPh sb="51" eb="52">
      <t>ト</t>
    </rPh>
    <rPh sb="53" eb="54">
      <t>ア</t>
    </rPh>
    <phoneticPr fontId="2"/>
  </si>
  <si>
    <r>
      <t>　１　加入区分欄は、加入する世帯員の</t>
    </r>
    <r>
      <rPr>
        <b/>
        <sz val="11"/>
        <color rgb="FFC00000"/>
        <rFont val="メイリオ"/>
        <family val="3"/>
        <charset val="128"/>
      </rPr>
      <t>1月1日時点の年齢</t>
    </r>
    <r>
      <rPr>
        <sz val="11"/>
        <color theme="1"/>
        <rFont val="メイリオ"/>
        <family val="3"/>
        <charset val="128"/>
      </rPr>
      <t>を選択してください。</t>
    </r>
    <rPh sb="3" eb="5">
      <t>カニュウ</t>
    </rPh>
    <rPh sb="5" eb="7">
      <t>クブン</t>
    </rPh>
    <rPh sb="7" eb="8">
      <t>ラン</t>
    </rPh>
    <rPh sb="10" eb="12">
      <t>カニュウ</t>
    </rPh>
    <rPh sb="14" eb="17">
      <t>セタイイン</t>
    </rPh>
    <rPh sb="19" eb="20">
      <t>ガツ</t>
    </rPh>
    <rPh sb="21" eb="22">
      <t>ニチ</t>
    </rPh>
    <rPh sb="22" eb="24">
      <t>ジテン</t>
    </rPh>
    <rPh sb="25" eb="27">
      <t>ネンレイ</t>
    </rPh>
    <rPh sb="28" eb="30">
      <t>センタク</t>
    </rPh>
    <phoneticPr fontId="2"/>
  </si>
  <si>
    <t>（参考：期割）</t>
    <phoneticPr fontId="2"/>
  </si>
  <si>
    <t>ここで算定される金額は、あくまでも仮計算です。他の条件により実際の課税額と異なる場合があります。</t>
    <rPh sb="3" eb="5">
      <t>サンテイ</t>
    </rPh>
    <rPh sb="8" eb="10">
      <t>キンガク</t>
    </rPh>
    <rPh sb="17" eb="18">
      <t>カリ</t>
    </rPh>
    <rPh sb="18" eb="20">
      <t>ケイサン</t>
    </rPh>
    <phoneticPr fontId="2"/>
  </si>
  <si>
    <t>１年間の税額</t>
    <rPh sb="1" eb="3">
      <t>ネンカン</t>
    </rPh>
    <rPh sb="4" eb="5">
      <t>ゼイ</t>
    </rPh>
    <rPh sb="5" eb="6">
      <t>ガク</t>
    </rPh>
    <phoneticPr fontId="2"/>
  </si>
  <si>
    <t>◆注意事項</t>
    <rPh sb="1" eb="3">
      <t>チュウイ</t>
    </rPh>
    <rPh sb="3" eb="5">
      <t>ジコウ</t>
    </rPh>
    <phoneticPr fontId="2"/>
  </si>
  <si>
    <t>◆入力の手順</t>
    <rPh sb="1" eb="3">
      <t>ニュウリョク</t>
    </rPh>
    <rPh sb="4" eb="6">
      <t>テジュン</t>
    </rPh>
    <phoneticPr fontId="2"/>
  </si>
  <si>
    <t>令和２年度</t>
    <rPh sb="0" eb="1">
      <t>レイ</t>
    </rPh>
    <rPh sb="1" eb="2">
      <t>ワ</t>
    </rPh>
    <rPh sb="3" eb="5">
      <t>ネンド</t>
    </rPh>
    <phoneticPr fontId="2"/>
  </si>
  <si>
    <t>令和３年度</t>
    <rPh sb="0" eb="1">
      <t>レイ</t>
    </rPh>
    <rPh sb="1" eb="2">
      <t>ワ</t>
    </rPh>
    <rPh sb="3" eb="5">
      <t>ネンド</t>
    </rPh>
    <phoneticPr fontId="2"/>
  </si>
  <si>
    <t>年金以外の合計所得</t>
    <rPh sb="0" eb="2">
      <t>ネンキン</t>
    </rPh>
    <rPh sb="2" eb="4">
      <t>イガイ</t>
    </rPh>
    <rPh sb="5" eb="7">
      <t>ゴウケイ</t>
    </rPh>
    <rPh sb="7" eb="9">
      <t>ショトク</t>
    </rPh>
    <phoneticPr fontId="2"/>
  </si>
  <si>
    <t>※ 給与所得控除、公的年金等控除改正後対応</t>
    <rPh sb="9" eb="11">
      <t>コウテキ</t>
    </rPh>
    <rPh sb="11" eb="13">
      <t>ネンキン</t>
    </rPh>
    <rPh sb="13" eb="14">
      <t>トウ</t>
    </rPh>
    <rPh sb="14" eb="16">
      <t>コウジョ</t>
    </rPh>
    <rPh sb="16" eb="18">
      <t>カイセイ</t>
    </rPh>
    <rPh sb="18" eb="19">
      <t>ゴ</t>
    </rPh>
    <rPh sb="19" eb="21">
      <t>タイオウ</t>
    </rPh>
    <phoneticPr fontId="2"/>
  </si>
  <si>
    <t>所得調整控除</t>
    <rPh sb="0" eb="2">
      <t>ショトク</t>
    </rPh>
    <rPh sb="2" eb="4">
      <t>チョウセイ</t>
    </rPh>
    <rPh sb="4" eb="6">
      <t>コウジョ</t>
    </rPh>
    <phoneticPr fontId="2"/>
  </si>
  <si>
    <t>基礎控除</t>
    <rPh sb="0" eb="2">
      <t>キソ</t>
    </rPh>
    <rPh sb="2" eb="4">
      <t>コウジョ</t>
    </rPh>
    <phoneticPr fontId="2"/>
  </si>
  <si>
    <t>令和４年度</t>
    <rPh sb="0" eb="1">
      <t>レイ</t>
    </rPh>
    <rPh sb="1" eb="2">
      <t>ワ</t>
    </rPh>
    <rPh sb="3" eb="5">
      <t>ネンド</t>
    </rPh>
    <phoneticPr fontId="2"/>
  </si>
  <si>
    <t>⑤減免制度を利用する場合（旧被扶養者に係るものを含む）。</t>
    <rPh sb="1" eb="3">
      <t>ゲンメン</t>
    </rPh>
    <rPh sb="3" eb="5">
      <t>セイド</t>
    </rPh>
    <rPh sb="6" eb="8">
      <t>リヨウ</t>
    </rPh>
    <rPh sb="10" eb="12">
      <t>バアイ</t>
    </rPh>
    <rPh sb="13" eb="14">
      <t>キュウ</t>
    </rPh>
    <rPh sb="14" eb="18">
      <t>ヒフヨウシャ</t>
    </rPh>
    <rPh sb="19" eb="20">
      <t>カカ</t>
    </rPh>
    <rPh sb="24" eb="25">
      <t>フク</t>
    </rPh>
    <phoneticPr fontId="2"/>
  </si>
  <si>
    <t>⑥純損失・雑損失の繰り越し控除、分離課税所得、専従者控除、専従者給与がある場合。</t>
    <rPh sb="1" eb="2">
      <t>ジュン</t>
    </rPh>
    <rPh sb="2" eb="4">
      <t>ソンシツ</t>
    </rPh>
    <rPh sb="5" eb="6">
      <t>ザツ</t>
    </rPh>
    <rPh sb="6" eb="8">
      <t>ソンシツ</t>
    </rPh>
    <rPh sb="9" eb="10">
      <t>ク</t>
    </rPh>
    <rPh sb="11" eb="12">
      <t>コ</t>
    </rPh>
    <rPh sb="13" eb="15">
      <t>コウジョ</t>
    </rPh>
    <rPh sb="16" eb="18">
      <t>ブンリ</t>
    </rPh>
    <rPh sb="18" eb="20">
      <t>カゼイ</t>
    </rPh>
    <rPh sb="20" eb="22">
      <t>ショトク</t>
    </rPh>
    <rPh sb="23" eb="26">
      <t>センジュウシャ</t>
    </rPh>
    <rPh sb="26" eb="28">
      <t>コウジョ</t>
    </rPh>
    <rPh sb="29" eb="32">
      <t>センジュウシャ</t>
    </rPh>
    <rPh sb="32" eb="34">
      <t>キュウヨ</t>
    </rPh>
    <rPh sb="37" eb="39">
      <t>バアイ</t>
    </rPh>
    <phoneticPr fontId="2"/>
  </si>
  <si>
    <t>⑦年度内において、国保世帯の中に異動がある場合（加入者の増減）。</t>
    <rPh sb="1" eb="4">
      <t>ネンドナイ</t>
    </rPh>
    <rPh sb="9" eb="11">
      <t>コクホ</t>
    </rPh>
    <rPh sb="11" eb="13">
      <t>セタイ</t>
    </rPh>
    <rPh sb="14" eb="15">
      <t>ナカ</t>
    </rPh>
    <rPh sb="16" eb="18">
      <t>イドウ</t>
    </rPh>
    <rPh sb="21" eb="23">
      <t>バアイ</t>
    </rPh>
    <rPh sb="24" eb="27">
      <t>カニュウシャ</t>
    </rPh>
    <rPh sb="28" eb="30">
      <t>ゾウゲン</t>
    </rPh>
    <phoneticPr fontId="2"/>
  </si>
  <si>
    <t>⑧このファイルは、給与収入が850万円を超え、扶養の条件を満たす場合に受けられる「所得金額調整控除」には対応していません。</t>
    <rPh sb="9" eb="11">
      <t>キュウヨ</t>
    </rPh>
    <rPh sb="11" eb="13">
      <t>シュウニュウ</t>
    </rPh>
    <rPh sb="17" eb="19">
      <t>マンエン</t>
    </rPh>
    <rPh sb="20" eb="21">
      <t>コ</t>
    </rPh>
    <rPh sb="23" eb="25">
      <t>フヨウ</t>
    </rPh>
    <rPh sb="26" eb="28">
      <t>ジョウケン</t>
    </rPh>
    <rPh sb="29" eb="30">
      <t>ミ</t>
    </rPh>
    <rPh sb="32" eb="34">
      <t>バアイ</t>
    </rPh>
    <rPh sb="35" eb="36">
      <t>ウ</t>
    </rPh>
    <rPh sb="41" eb="43">
      <t>ショトク</t>
    </rPh>
    <rPh sb="43" eb="45">
      <t>キンガク</t>
    </rPh>
    <rPh sb="45" eb="47">
      <t>チョウセイ</t>
    </rPh>
    <rPh sb="47" eb="49">
      <t>コウジョ</t>
    </rPh>
    <rPh sb="52" eb="54">
      <t>タイオウ</t>
    </rPh>
    <phoneticPr fontId="2"/>
  </si>
  <si>
    <t>④未就学児にかかる均等割の減額がある場合。</t>
    <rPh sb="1" eb="2">
      <t>ミ</t>
    </rPh>
    <rPh sb="4" eb="5">
      <t>ジ</t>
    </rPh>
    <rPh sb="9" eb="12">
      <t>キントウワリ</t>
    </rPh>
    <rPh sb="13" eb="15">
      <t>ゲンガク</t>
    </rPh>
    <rPh sb="18" eb="20">
      <t>バアイ</t>
    </rPh>
    <phoneticPr fontId="2"/>
  </si>
  <si>
    <t>令和５年度</t>
    <rPh sb="0" eb="1">
      <t>レイ</t>
    </rPh>
    <rPh sb="1" eb="2">
      <t>ワ</t>
    </rPh>
    <rPh sb="3" eb="5">
      <t>ネンド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</si>
</sst>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0,000&quot;円&quot;"/>
    <numFmt numFmtId="177" formatCode="0.0%"/>
    <numFmt numFmtId="178" formatCode="#,##0&quot;円&quot;"/>
    <numFmt numFmtId="179" formatCode="0&quot;ヶ月&quot;"/>
    <numFmt numFmtId="180" formatCode="&quot;平成&quot;###&quot;年度&quot;"/>
    <numFmt numFmtId="181" formatCode="&quot;平&quot;&quot;成&quot;0&quot;年度&quot;"/>
    <numFmt numFmtId="182" formatCode="[$-411]ge\.m\.d;@"/>
    <numFmt numFmtId="183" formatCode="#,##0_ "/>
    <numFmt numFmtId="184" formatCode="#,###&quot;円&quot;"/>
    <numFmt numFmtId="185" formatCode="#&quot;割軽減&quot;"/>
  </numFmts>
  <fonts count="29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2"/>
      <color rgb="FFC00000"/>
      <name val="HGPｺﾞｼｯｸM"/>
      <family val="3"/>
      <charset val="128"/>
    </font>
    <font>
      <sz val="11"/>
      <color theme="1"/>
      <name val="HGPｺﾞｼｯｸM"/>
      <family val="3"/>
      <charset val="128"/>
    </font>
    <font>
      <sz val="11"/>
      <color rgb="FFC00000"/>
      <name val="HGPｺﾞｼｯｸM"/>
      <family val="3"/>
      <charset val="128"/>
    </font>
    <font>
      <sz val="10.5"/>
      <color theme="1"/>
      <name val="HGPｺﾞｼｯｸM"/>
      <family val="3"/>
      <charset val="128"/>
    </font>
    <font>
      <sz val="10"/>
      <name val="HGSｺﾞｼｯｸM"/>
      <family val="3"/>
      <charset val="128"/>
    </font>
    <font>
      <sz val="11"/>
      <color theme="1"/>
      <name val="HGSｺﾞｼｯｸM"/>
      <family val="3"/>
      <charset val="128"/>
    </font>
    <font>
      <sz val="11"/>
      <name val="HGSｺﾞｼｯｸM"/>
      <family val="3"/>
      <charset val="128"/>
    </font>
    <font>
      <sz val="22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color rgb="FFC00000"/>
      <name val="メイリオ"/>
      <family val="3"/>
      <charset val="128"/>
    </font>
    <font>
      <sz val="11"/>
      <name val="メイリオ"/>
      <family val="3"/>
      <charset val="128"/>
    </font>
    <font>
      <u/>
      <sz val="11"/>
      <color theme="1"/>
      <name val="メイリオ"/>
      <family val="3"/>
      <charset val="128"/>
    </font>
    <font>
      <b/>
      <sz val="11"/>
      <color theme="0"/>
      <name val="メイリオ"/>
      <family val="3"/>
      <charset val="128"/>
    </font>
    <font>
      <b/>
      <sz val="11"/>
      <color rgb="FFC00000"/>
      <name val="メイリオ"/>
      <family val="3"/>
      <charset val="128"/>
    </font>
    <font>
      <b/>
      <sz val="11"/>
      <color rgb="FFFF0000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b/>
      <u/>
      <sz val="12"/>
      <color rgb="FFFF0000"/>
      <name val="メイリオ"/>
      <family val="3"/>
      <charset val="128"/>
    </font>
    <font>
      <b/>
      <sz val="10"/>
      <color theme="0"/>
      <name val="メイリオ"/>
      <family val="3"/>
      <charset val="128"/>
    </font>
    <font>
      <b/>
      <sz val="10"/>
      <color rgb="FFFF0000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6"/>
      <color rgb="FFFF0000"/>
      <name val="メイリオ"/>
      <family val="3"/>
      <charset val="128"/>
    </font>
    <font>
      <b/>
      <sz val="20"/>
      <name val="メイリオ"/>
      <family val="3"/>
      <charset val="128"/>
    </font>
    <font>
      <b/>
      <sz val="14"/>
      <color theme="1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rgb="FFFFFF99"/>
        <bgColor theme="7" tint="0.79998168889431442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42BAD2"/>
        <bgColor indexed="64"/>
      </patternFill>
    </fill>
    <fill>
      <patternFill patternType="solid">
        <fgColor rgb="FF11D384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medium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ck">
        <color rgb="FFFF0000"/>
      </left>
      <right/>
      <top style="thick">
        <color rgb="FFFF0000"/>
      </top>
      <bottom style="hair">
        <color indexed="64"/>
      </bottom>
      <diagonal/>
    </border>
    <border>
      <left/>
      <right style="thick">
        <color rgb="FFFF0000"/>
      </right>
      <top style="thick">
        <color rgb="FFFF0000"/>
      </top>
      <bottom style="hair">
        <color indexed="64"/>
      </bottom>
      <diagonal/>
    </border>
    <border>
      <left style="thick">
        <color rgb="FFFF0000"/>
      </left>
      <right/>
      <top style="hair">
        <color indexed="64"/>
      </top>
      <bottom style="thick">
        <color rgb="FFFF0000"/>
      </bottom>
      <diagonal/>
    </border>
    <border>
      <left/>
      <right style="thick">
        <color rgb="FFFF0000"/>
      </right>
      <top style="hair">
        <color indexed="64"/>
      </top>
      <bottom style="thick">
        <color rgb="FFFF0000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62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7" fillId="0" borderId="1" xfId="0" applyFont="1" applyBorder="1">
      <alignment vertical="center"/>
    </xf>
    <xf numFmtId="181" fontId="7" fillId="0" borderId="1" xfId="0" applyNumberFormat="1" applyFont="1" applyBorder="1" applyAlignment="1">
      <alignment horizontal="center" vertical="center"/>
    </xf>
    <xf numFmtId="179" fontId="7" fillId="0" borderId="1" xfId="0" applyNumberFormat="1" applyFont="1" applyBorder="1" applyAlignment="1">
      <alignment horizontal="center" vertical="center"/>
    </xf>
    <xf numFmtId="179" fontId="7" fillId="0" borderId="2" xfId="0" applyNumberFormat="1" applyFont="1" applyBorder="1">
      <alignment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10" fontId="7" fillId="0" borderId="1" xfId="0" applyNumberFormat="1" applyFont="1" applyBorder="1">
      <alignment vertical="center"/>
    </xf>
    <xf numFmtId="0" fontId="7" fillId="3" borderId="0" xfId="0" applyFont="1" applyFill="1">
      <alignment vertical="center"/>
    </xf>
    <xf numFmtId="176" fontId="7" fillId="0" borderId="1" xfId="0" applyNumberFormat="1" applyFont="1" applyBorder="1">
      <alignment vertical="center"/>
    </xf>
    <xf numFmtId="176" fontId="7" fillId="0" borderId="1" xfId="0" applyNumberFormat="1" applyFont="1" applyFill="1" applyBorder="1">
      <alignment vertical="center"/>
    </xf>
    <xf numFmtId="0" fontId="7" fillId="0" borderId="0" xfId="0" applyFont="1" applyFill="1" applyBorder="1">
      <alignment vertical="center"/>
    </xf>
    <xf numFmtId="182" fontId="7" fillId="0" borderId="0" xfId="0" applyNumberFormat="1" applyFont="1" applyBorder="1">
      <alignment vertical="center"/>
    </xf>
    <xf numFmtId="14" fontId="7" fillId="0" borderId="0" xfId="0" applyNumberFormat="1" applyFont="1" applyBorder="1">
      <alignment vertical="center"/>
    </xf>
    <xf numFmtId="176" fontId="7" fillId="0" borderId="0" xfId="0" applyNumberFormat="1" applyFont="1" applyBorder="1">
      <alignment vertical="center"/>
    </xf>
    <xf numFmtId="0" fontId="7" fillId="0" borderId="0" xfId="0" applyFont="1" applyBorder="1">
      <alignment vertical="center"/>
    </xf>
    <xf numFmtId="176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76" fontId="7" fillId="0" borderId="1" xfId="0" applyNumberFormat="1" applyFont="1" applyBorder="1" applyAlignment="1">
      <alignment vertical="center" wrapText="1"/>
    </xf>
    <xf numFmtId="184" fontId="7" fillId="0" borderId="1" xfId="1" applyNumberFormat="1" applyFont="1" applyBorder="1">
      <alignment vertical="center"/>
    </xf>
    <xf numFmtId="184" fontId="7" fillId="0" borderId="0" xfId="0" applyNumberFormat="1" applyFont="1" applyBorder="1">
      <alignment vertical="center"/>
    </xf>
    <xf numFmtId="184" fontId="7" fillId="0" borderId="0" xfId="0" applyNumberFormat="1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7" fillId="0" borderId="1" xfId="0" applyNumberFormat="1" applyFont="1" applyBorder="1">
      <alignment vertical="center"/>
    </xf>
    <xf numFmtId="0" fontId="7" fillId="0" borderId="0" xfId="0" applyNumberFormat="1" applyFont="1" applyBorder="1">
      <alignment vertical="center"/>
    </xf>
    <xf numFmtId="0" fontId="7" fillId="0" borderId="1" xfId="0" applyFont="1" applyFill="1" applyBorder="1">
      <alignment vertical="center"/>
    </xf>
    <xf numFmtId="0" fontId="7" fillId="0" borderId="1" xfId="0" applyNumberFormat="1" applyFont="1" applyFill="1" applyBorder="1">
      <alignment vertical="center"/>
    </xf>
    <xf numFmtId="183" fontId="7" fillId="0" borderId="0" xfId="0" applyNumberFormat="1" applyFont="1" applyBorder="1">
      <alignment vertical="center"/>
    </xf>
    <xf numFmtId="178" fontId="7" fillId="0" borderId="1" xfId="0" applyNumberFormat="1" applyFont="1" applyBorder="1" applyAlignment="1">
      <alignment vertical="center" shrinkToFit="1"/>
    </xf>
    <xf numFmtId="179" fontId="7" fillId="0" borderId="1" xfId="0" applyNumberFormat="1" applyFont="1" applyBorder="1" applyAlignment="1">
      <alignment horizontal="center" vertical="center" shrinkToFit="1"/>
    </xf>
    <xf numFmtId="176" fontId="7" fillId="0" borderId="2" xfId="0" applyNumberFormat="1" applyFont="1" applyBorder="1" applyAlignment="1">
      <alignment horizontal="center" vertical="center" shrinkToFit="1"/>
    </xf>
    <xf numFmtId="178" fontId="7" fillId="0" borderId="1" xfId="0" applyNumberFormat="1" applyFont="1" applyBorder="1">
      <alignment vertical="center"/>
    </xf>
    <xf numFmtId="183" fontId="7" fillId="0" borderId="1" xfId="0" applyNumberFormat="1" applyFont="1" applyBorder="1">
      <alignment vertical="center"/>
    </xf>
    <xf numFmtId="178" fontId="7" fillId="0" borderId="2" xfId="0" applyNumberFormat="1" applyFont="1" applyBorder="1">
      <alignment vertical="center"/>
    </xf>
    <xf numFmtId="176" fontId="7" fillId="0" borderId="1" xfId="0" applyNumberFormat="1" applyFont="1" applyBorder="1" applyAlignment="1">
      <alignment horizontal="center" vertical="center" shrinkToFit="1"/>
    </xf>
    <xf numFmtId="0" fontId="7" fillId="0" borderId="3" xfId="0" applyFont="1" applyBorder="1">
      <alignment vertical="center"/>
    </xf>
    <xf numFmtId="0" fontId="10" fillId="0" borderId="1" xfId="2" applyFont="1" applyBorder="1" applyAlignment="1">
      <alignment horizontal="center" vertical="center"/>
    </xf>
    <xf numFmtId="0" fontId="10" fillId="0" borderId="1" xfId="2" applyFont="1" applyBorder="1" applyAlignment="1">
      <alignment horizontal="center" vertical="center" shrinkToFit="1"/>
    </xf>
    <xf numFmtId="177" fontId="10" fillId="0" borderId="1" xfId="2" applyNumberFormat="1" applyFont="1" applyBorder="1" applyAlignment="1">
      <alignment horizontal="center" vertical="center" shrinkToFit="1"/>
    </xf>
    <xf numFmtId="10" fontId="10" fillId="0" borderId="1" xfId="2" applyNumberFormat="1" applyFont="1" applyBorder="1" applyAlignment="1">
      <alignment horizontal="center" vertical="center" shrinkToFit="1"/>
    </xf>
    <xf numFmtId="176" fontId="10" fillId="0" borderId="1" xfId="2" applyNumberFormat="1" applyFont="1" applyBorder="1" applyAlignment="1">
      <alignment horizontal="center" vertical="center" shrinkToFit="1"/>
    </xf>
    <xf numFmtId="0" fontId="11" fillId="0" borderId="0" xfId="0" applyFont="1">
      <alignment vertical="center"/>
    </xf>
    <xf numFmtId="0" fontId="10" fillId="0" borderId="1" xfId="2" applyFont="1" applyBorder="1">
      <alignment vertical="center"/>
    </xf>
    <xf numFmtId="180" fontId="10" fillId="0" borderId="1" xfId="2" applyNumberFormat="1" applyFont="1" applyBorder="1" applyAlignment="1">
      <alignment horizontal="center" vertical="center"/>
    </xf>
    <xf numFmtId="177" fontId="10" fillId="0" borderId="1" xfId="2" applyNumberFormat="1" applyFont="1" applyBorder="1" applyAlignment="1">
      <alignment vertical="center" shrinkToFit="1"/>
    </xf>
    <xf numFmtId="176" fontId="10" fillId="0" borderId="1" xfId="2" applyNumberFormat="1" applyFont="1" applyBorder="1" applyAlignment="1">
      <alignment vertical="center" shrinkToFit="1"/>
    </xf>
    <xf numFmtId="10" fontId="10" fillId="0" borderId="1" xfId="2" applyNumberFormat="1" applyFont="1" applyBorder="1" applyAlignment="1">
      <alignment vertical="center" shrinkToFit="1"/>
    </xf>
    <xf numFmtId="178" fontId="10" fillId="0" borderId="1" xfId="2" applyNumberFormat="1" applyFont="1" applyBorder="1">
      <alignment vertical="center"/>
    </xf>
    <xf numFmtId="179" fontId="10" fillId="0" borderId="1" xfId="2" applyNumberFormat="1" applyFont="1" applyBorder="1">
      <alignment vertical="center"/>
    </xf>
    <xf numFmtId="0" fontId="12" fillId="0" borderId="0" xfId="2" applyFont="1">
      <alignment vertical="center"/>
    </xf>
    <xf numFmtId="177" fontId="10" fillId="0" borderId="1" xfId="2" applyNumberFormat="1" applyFont="1" applyBorder="1">
      <alignment vertical="center"/>
    </xf>
    <xf numFmtId="10" fontId="10" fillId="0" borderId="1" xfId="2" applyNumberFormat="1" applyFont="1" applyBorder="1">
      <alignment vertical="center"/>
    </xf>
    <xf numFmtId="10" fontId="11" fillId="0" borderId="0" xfId="0" applyNumberFormat="1" applyFont="1">
      <alignment vertical="center"/>
    </xf>
    <xf numFmtId="0" fontId="14" fillId="0" borderId="0" xfId="0" applyFont="1" applyProtection="1">
      <alignment vertical="center"/>
      <protection hidden="1"/>
    </xf>
    <xf numFmtId="0" fontId="13" fillId="0" borderId="0" xfId="0" applyFont="1" applyAlignment="1" applyProtection="1">
      <alignment horizontal="center" vertical="center"/>
      <protection hidden="1"/>
    </xf>
    <xf numFmtId="0" fontId="21" fillId="5" borderId="0" xfId="2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Protection="1">
      <alignment vertical="center"/>
      <protection hidden="1"/>
    </xf>
    <xf numFmtId="0" fontId="16" fillId="5" borderId="0" xfId="2" applyFont="1" applyFill="1" applyBorder="1" applyAlignment="1" applyProtection="1">
      <alignment horizontal="left" vertical="center"/>
      <protection hidden="1"/>
    </xf>
    <xf numFmtId="0" fontId="14" fillId="5" borderId="0" xfId="0" applyFont="1" applyFill="1" applyAlignment="1" applyProtection="1">
      <alignment horizontal="left" vertical="center"/>
      <protection hidden="1"/>
    </xf>
    <xf numFmtId="0" fontId="21" fillId="5" borderId="0" xfId="0" applyFont="1" applyFill="1" applyAlignment="1" applyProtection="1">
      <alignment horizontal="left" vertical="center"/>
      <protection hidden="1"/>
    </xf>
    <xf numFmtId="0" fontId="22" fillId="0" borderId="0" xfId="0" applyFont="1" applyFill="1" applyAlignment="1" applyProtection="1">
      <alignment horizontal="left" vertical="center"/>
      <protection hidden="1"/>
    </xf>
    <xf numFmtId="0" fontId="17" fillId="0" borderId="0" xfId="0" applyFont="1" applyFill="1" applyProtection="1">
      <alignment vertical="center"/>
      <protection hidden="1"/>
    </xf>
    <xf numFmtId="0" fontId="14" fillId="0" borderId="0" xfId="0" applyFont="1" applyFill="1" applyProtection="1">
      <alignment vertical="center"/>
      <protection hidden="1"/>
    </xf>
    <xf numFmtId="0" fontId="13" fillId="3" borderId="0" xfId="0" applyFont="1" applyFill="1" applyAlignment="1" applyProtection="1">
      <alignment horizontal="center" vertical="center"/>
      <protection hidden="1"/>
    </xf>
    <xf numFmtId="0" fontId="14" fillId="3" borderId="0" xfId="0" applyFont="1" applyFill="1" applyProtection="1">
      <alignment vertical="center"/>
      <protection hidden="1"/>
    </xf>
    <xf numFmtId="0" fontId="14" fillId="3" borderId="0" xfId="0" applyFont="1" applyFill="1" applyAlignment="1" applyProtection="1">
      <alignment vertical="top"/>
      <protection hidden="1"/>
    </xf>
    <xf numFmtId="0" fontId="14" fillId="0" borderId="0" xfId="0" applyFont="1" applyAlignment="1" applyProtection="1">
      <alignment vertical="top"/>
      <protection hidden="1"/>
    </xf>
    <xf numFmtId="14" fontId="14" fillId="0" borderId="0" xfId="0" applyNumberFormat="1" applyFont="1" applyProtection="1">
      <alignment vertical="center"/>
      <protection hidden="1"/>
    </xf>
    <xf numFmtId="0" fontId="18" fillId="4" borderId="22" xfId="0" applyFont="1" applyFill="1" applyBorder="1" applyAlignment="1" applyProtection="1">
      <alignment horizontal="center" vertical="center"/>
      <protection hidden="1"/>
    </xf>
    <xf numFmtId="0" fontId="18" fillId="6" borderId="23" xfId="0" applyFont="1" applyFill="1" applyBorder="1" applyAlignment="1" applyProtection="1">
      <alignment horizontal="center" vertical="center"/>
      <protection hidden="1"/>
    </xf>
    <xf numFmtId="0" fontId="23" fillId="4" borderId="24" xfId="0" applyFont="1" applyFill="1" applyBorder="1" applyAlignment="1" applyProtection="1">
      <alignment horizontal="center" vertical="center"/>
      <protection hidden="1"/>
    </xf>
    <xf numFmtId="0" fontId="23" fillId="6" borderId="25" xfId="0" applyFont="1" applyFill="1" applyBorder="1" applyAlignment="1" applyProtection="1">
      <alignment horizontal="center" vertical="center"/>
      <protection hidden="1"/>
    </xf>
    <xf numFmtId="0" fontId="14" fillId="0" borderId="20" xfId="0" applyFont="1" applyBorder="1" applyProtection="1">
      <alignment vertical="center"/>
      <protection hidden="1"/>
    </xf>
    <xf numFmtId="182" fontId="14" fillId="0" borderId="18" xfId="0" applyNumberFormat="1" applyFont="1" applyBorder="1" applyProtection="1">
      <alignment vertical="center"/>
      <protection locked="0" hidden="1"/>
    </xf>
    <xf numFmtId="184" fontId="14" fillId="2" borderId="10" xfId="1" applyNumberFormat="1" applyFont="1" applyFill="1" applyBorder="1" applyProtection="1">
      <alignment vertical="center"/>
      <protection locked="0" hidden="1"/>
    </xf>
    <xf numFmtId="184" fontId="14" fillId="2" borderId="9" xfId="1" applyNumberFormat="1" applyFont="1" applyFill="1" applyBorder="1" applyProtection="1">
      <alignment vertical="center"/>
      <protection locked="0" hidden="1"/>
    </xf>
    <xf numFmtId="0" fontId="14" fillId="0" borderId="14" xfId="0" applyFont="1" applyBorder="1" applyProtection="1">
      <alignment vertical="center"/>
      <protection hidden="1"/>
    </xf>
    <xf numFmtId="184" fontId="14" fillId="2" borderId="11" xfId="1" applyNumberFormat="1" applyFont="1" applyFill="1" applyBorder="1" applyProtection="1">
      <alignment vertical="center"/>
      <protection locked="0" hidden="1"/>
    </xf>
    <xf numFmtId="184" fontId="14" fillId="2" borderId="1" xfId="1" applyNumberFormat="1" applyFont="1" applyFill="1" applyBorder="1" applyProtection="1">
      <alignment vertical="center"/>
      <protection locked="0" hidden="1"/>
    </xf>
    <xf numFmtId="0" fontId="14" fillId="0" borderId="15" xfId="0" applyFont="1" applyBorder="1" applyProtection="1">
      <alignment vertical="center"/>
      <protection hidden="1"/>
    </xf>
    <xf numFmtId="182" fontId="14" fillId="0" borderId="19" xfId="0" applyNumberFormat="1" applyFont="1" applyBorder="1" applyProtection="1">
      <alignment vertical="center"/>
      <protection locked="0" hidden="1"/>
    </xf>
    <xf numFmtId="184" fontId="14" fillId="2" borderId="12" xfId="1" applyNumberFormat="1" applyFont="1" applyFill="1" applyBorder="1" applyProtection="1">
      <alignment vertical="center"/>
      <protection locked="0" hidden="1"/>
    </xf>
    <xf numFmtId="184" fontId="14" fillId="2" borderId="8" xfId="1" applyNumberFormat="1" applyFont="1" applyFill="1" applyBorder="1" applyProtection="1">
      <alignment vertical="center"/>
      <protection locked="0" hidden="1"/>
    </xf>
    <xf numFmtId="0" fontId="14" fillId="0" borderId="0" xfId="0" applyFont="1" applyBorder="1" applyProtection="1">
      <alignment vertical="center"/>
      <protection hidden="1"/>
    </xf>
    <xf numFmtId="0" fontId="14" fillId="0" borderId="0" xfId="0" applyFont="1" applyBorder="1" applyProtection="1">
      <alignment vertical="center"/>
      <protection locked="0" hidden="1"/>
    </xf>
    <xf numFmtId="0" fontId="14" fillId="0" borderId="0" xfId="0" applyFont="1" applyFill="1" applyBorder="1" applyProtection="1">
      <alignment vertical="center"/>
      <protection hidden="1"/>
    </xf>
    <xf numFmtId="0" fontId="14" fillId="0" borderId="1" xfId="0" applyFont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184" fontId="14" fillId="0" borderId="1" xfId="1" applyNumberFormat="1" applyFont="1" applyBorder="1" applyProtection="1">
      <alignment vertical="center"/>
      <protection hidden="1"/>
    </xf>
    <xf numFmtId="10" fontId="14" fillId="0" borderId="1" xfId="0" applyNumberFormat="1" applyFont="1" applyBorder="1" applyProtection="1">
      <alignment vertical="center"/>
      <protection hidden="1"/>
    </xf>
    <xf numFmtId="184" fontId="14" fillId="0" borderId="1" xfId="0" applyNumberFormat="1" applyFont="1" applyBorder="1" applyProtection="1">
      <alignment vertical="center"/>
      <protection hidden="1"/>
    </xf>
    <xf numFmtId="38" fontId="14" fillId="0" borderId="1" xfId="1" applyFont="1" applyBorder="1" applyProtection="1">
      <alignment vertical="center"/>
      <protection hidden="1"/>
    </xf>
    <xf numFmtId="176" fontId="14" fillId="0" borderId="1" xfId="1" applyNumberFormat="1" applyFont="1" applyBorder="1" applyProtection="1">
      <alignment vertical="center"/>
      <protection hidden="1"/>
    </xf>
    <xf numFmtId="176" fontId="14" fillId="0" borderId="1" xfId="0" applyNumberFormat="1" applyFont="1" applyBorder="1" applyProtection="1">
      <alignment vertical="center"/>
      <protection hidden="1"/>
    </xf>
    <xf numFmtId="0" fontId="14" fillId="0" borderId="1" xfId="0" applyFont="1" applyBorder="1" applyProtection="1">
      <alignment vertical="center"/>
      <protection hidden="1"/>
    </xf>
    <xf numFmtId="184" fontId="14" fillId="0" borderId="0" xfId="0" applyNumberFormat="1" applyFont="1" applyProtection="1">
      <alignment vertical="center"/>
      <protection hidden="1"/>
    </xf>
    <xf numFmtId="0" fontId="14" fillId="0" borderId="0" xfId="0" applyFont="1" applyAlignment="1" applyProtection="1">
      <alignment vertical="center" shrinkToFit="1"/>
      <protection hidden="1"/>
    </xf>
    <xf numFmtId="0" fontId="14" fillId="3" borderId="1" xfId="0" applyFont="1" applyFill="1" applyBorder="1" applyAlignment="1" applyProtection="1">
      <alignment horizontal="center" vertical="center"/>
      <protection hidden="1"/>
    </xf>
    <xf numFmtId="38" fontId="14" fillId="0" borderId="0" xfId="0" applyNumberFormat="1" applyFont="1" applyProtection="1">
      <alignment vertical="center"/>
      <protection hidden="1"/>
    </xf>
    <xf numFmtId="0" fontId="20" fillId="0" borderId="0" xfId="0" applyFont="1" applyProtection="1">
      <alignment vertical="center"/>
      <protection hidden="1"/>
    </xf>
    <xf numFmtId="0" fontId="14" fillId="0" borderId="0" xfId="0" applyFont="1" applyAlignment="1" applyProtection="1">
      <alignment horizontal="left" vertical="center"/>
      <protection hidden="1"/>
    </xf>
    <xf numFmtId="0" fontId="21" fillId="3" borderId="0" xfId="0" applyFont="1" applyFill="1" applyBorder="1" applyAlignment="1" applyProtection="1">
      <alignment horizontal="left" vertical="center"/>
      <protection hidden="1"/>
    </xf>
    <xf numFmtId="0" fontId="14" fillId="3" borderId="0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Alignment="1" applyProtection="1">
      <alignment vertical="top"/>
      <protection hidden="1"/>
    </xf>
    <xf numFmtId="0" fontId="13" fillId="0" borderId="0" xfId="0" applyFont="1" applyFill="1" applyAlignment="1" applyProtection="1">
      <alignment horizontal="center" vertical="center"/>
      <protection hidden="1"/>
    </xf>
    <xf numFmtId="0" fontId="18" fillId="7" borderId="30" xfId="0" applyFont="1" applyFill="1" applyBorder="1" applyAlignment="1" applyProtection="1">
      <alignment horizontal="center" vertical="center"/>
      <protection hidden="1"/>
    </xf>
    <xf numFmtId="0" fontId="23" fillId="7" borderId="31" xfId="0" applyFont="1" applyFill="1" applyBorder="1" applyAlignment="1" applyProtection="1">
      <alignment horizontal="center" vertical="center"/>
      <protection hidden="1"/>
    </xf>
    <xf numFmtId="184" fontId="14" fillId="2" borderId="32" xfId="1" applyNumberFormat="1" applyFont="1" applyFill="1" applyBorder="1" applyProtection="1">
      <alignment vertical="center"/>
      <protection locked="0" hidden="1"/>
    </xf>
    <xf numFmtId="184" fontId="14" fillId="2" borderId="2" xfId="1" applyNumberFormat="1" applyFont="1" applyFill="1" applyBorder="1" applyProtection="1">
      <alignment vertical="center"/>
      <protection locked="0" hidden="1"/>
    </xf>
    <xf numFmtId="184" fontId="14" fillId="2" borderId="33" xfId="1" applyNumberFormat="1" applyFont="1" applyFill="1" applyBorder="1" applyProtection="1">
      <alignment vertical="center"/>
      <protection locked="0" hidden="1"/>
    </xf>
    <xf numFmtId="0" fontId="14" fillId="0" borderId="0" xfId="0" applyFont="1" applyFill="1" applyBorder="1" applyAlignment="1" applyProtection="1">
      <alignment horizontal="left" vertical="center"/>
      <protection hidden="1"/>
    </xf>
    <xf numFmtId="0" fontId="18" fillId="0" borderId="21" xfId="0" applyFont="1" applyFill="1" applyBorder="1" applyAlignment="1" applyProtection="1">
      <alignment horizontal="center" vertical="center" wrapText="1"/>
      <protection hidden="1"/>
    </xf>
    <xf numFmtId="0" fontId="24" fillId="0" borderId="21" xfId="0" applyFont="1" applyFill="1" applyBorder="1" applyAlignment="1" applyProtection="1">
      <alignment horizontal="center" vertical="center"/>
      <protection hidden="1"/>
    </xf>
    <xf numFmtId="184" fontId="14" fillId="0" borderId="21" xfId="1" applyNumberFormat="1" applyFont="1" applyFill="1" applyBorder="1" applyProtection="1">
      <alignment vertical="center"/>
      <protection hidden="1"/>
    </xf>
    <xf numFmtId="184" fontId="7" fillId="0" borderId="6" xfId="1" applyNumberFormat="1" applyFont="1" applyBorder="1" applyAlignment="1">
      <alignment horizontal="right" vertical="center"/>
    </xf>
    <xf numFmtId="184" fontId="7" fillId="0" borderId="0" xfId="1" applyNumberFormat="1" applyFont="1" applyBorder="1" applyAlignment="1">
      <alignment horizontal="right" vertical="center"/>
    </xf>
    <xf numFmtId="184" fontId="7" fillId="0" borderId="6" xfId="0" applyNumberFormat="1" applyFont="1" applyBorder="1">
      <alignment vertical="center"/>
    </xf>
    <xf numFmtId="0" fontId="7" fillId="3" borderId="7" xfId="0" applyFont="1" applyFill="1" applyBorder="1" applyProtection="1">
      <alignment vertical="center"/>
      <protection locked="0"/>
    </xf>
    <xf numFmtId="184" fontId="14" fillId="0" borderId="1" xfId="0" applyNumberFormat="1" applyFont="1" applyBorder="1" applyAlignment="1" applyProtection="1">
      <alignment horizontal="right" vertical="center"/>
      <protection hidden="1"/>
    </xf>
    <xf numFmtId="0" fontId="14" fillId="0" borderId="1" xfId="0" applyFont="1" applyBorder="1" applyAlignment="1" applyProtection="1">
      <alignment horizontal="right" vertical="center"/>
      <protection hidden="1"/>
    </xf>
    <xf numFmtId="0" fontId="14" fillId="5" borderId="4" xfId="0" applyFont="1" applyFill="1" applyBorder="1" applyAlignment="1" applyProtection="1">
      <alignment horizontal="center" vertical="center"/>
      <protection hidden="1"/>
    </xf>
    <xf numFmtId="0" fontId="14" fillId="5" borderId="6" xfId="0" applyFont="1" applyFill="1" applyBorder="1" applyAlignment="1" applyProtection="1">
      <alignment horizontal="center" vertical="center"/>
      <protection hidden="1"/>
    </xf>
    <xf numFmtId="184" fontId="14" fillId="0" borderId="2" xfId="1" applyNumberFormat="1" applyFont="1" applyBorder="1" applyAlignment="1" applyProtection="1">
      <alignment horizontal="right" vertical="center"/>
      <protection hidden="1"/>
    </xf>
    <xf numFmtId="184" fontId="14" fillId="0" borderId="5" xfId="1" applyNumberFormat="1" applyFont="1" applyBorder="1" applyAlignment="1" applyProtection="1">
      <alignment horizontal="right" vertical="center"/>
      <protection hidden="1"/>
    </xf>
    <xf numFmtId="184" fontId="14" fillId="0" borderId="3" xfId="1" applyNumberFormat="1" applyFont="1" applyBorder="1" applyAlignment="1" applyProtection="1">
      <alignment horizontal="right" vertical="center"/>
      <protection hidden="1"/>
    </xf>
    <xf numFmtId="0" fontId="14" fillId="0" borderId="4" xfId="0" applyFont="1" applyBorder="1" applyAlignment="1" applyProtection="1">
      <alignment horizontal="center" vertical="center"/>
      <protection hidden="1"/>
    </xf>
    <xf numFmtId="0" fontId="14" fillId="0" borderId="6" xfId="0" applyFont="1" applyBorder="1" applyAlignment="1" applyProtection="1">
      <alignment horizontal="center" vertical="center"/>
      <protection hidden="1"/>
    </xf>
    <xf numFmtId="185" fontId="14" fillId="0" borderId="1" xfId="0" applyNumberFormat="1" applyFont="1" applyBorder="1" applyAlignment="1" applyProtection="1">
      <alignment horizontal="center" vertical="center"/>
      <protection hidden="1"/>
    </xf>
    <xf numFmtId="184" fontId="26" fillId="9" borderId="28" xfId="1" applyNumberFormat="1" applyFont="1" applyFill="1" applyBorder="1" applyAlignment="1" applyProtection="1">
      <alignment horizontal="right" vertical="center"/>
      <protection hidden="1"/>
    </xf>
    <xf numFmtId="184" fontId="26" fillId="9" borderId="29" xfId="1" applyNumberFormat="1" applyFont="1" applyFill="1" applyBorder="1" applyAlignment="1" applyProtection="1">
      <alignment horizontal="right" vertical="center"/>
      <protection hidden="1"/>
    </xf>
    <xf numFmtId="0" fontId="28" fillId="5" borderId="26" xfId="0" applyFont="1" applyFill="1" applyBorder="1" applyAlignment="1" applyProtection="1">
      <alignment horizontal="center"/>
      <protection hidden="1"/>
    </xf>
    <xf numFmtId="0" fontId="25" fillId="5" borderId="27" xfId="0" applyFont="1" applyFill="1" applyBorder="1" applyAlignment="1" applyProtection="1">
      <alignment horizontal="center"/>
      <protection hidden="1"/>
    </xf>
    <xf numFmtId="0" fontId="27" fillId="0" borderId="0" xfId="0" applyFont="1" applyAlignment="1" applyProtection="1">
      <alignment horizontal="center" vertical="center"/>
      <protection hidden="1"/>
    </xf>
    <xf numFmtId="0" fontId="14" fillId="0" borderId="16" xfId="0" applyFont="1" applyBorder="1" applyAlignment="1" applyProtection="1">
      <alignment horizontal="center" vertical="center" wrapText="1"/>
      <protection hidden="1"/>
    </xf>
    <xf numFmtId="0" fontId="14" fillId="0" borderId="17" xfId="0" applyFont="1" applyBorder="1" applyAlignment="1" applyProtection="1">
      <alignment horizontal="center" vertical="center" wrapText="1"/>
      <protection hidden="1"/>
    </xf>
    <xf numFmtId="0" fontId="14" fillId="0" borderId="13" xfId="0" applyFont="1" applyBorder="1" applyAlignment="1" applyProtection="1">
      <alignment horizontal="center" vertical="center"/>
      <protection hidden="1"/>
    </xf>
    <xf numFmtId="0" fontId="14" fillId="0" borderId="21" xfId="0" applyFont="1" applyBorder="1" applyAlignment="1" applyProtection="1">
      <alignment horizontal="center" vertical="center"/>
      <protection hidden="1"/>
    </xf>
    <xf numFmtId="0" fontId="14" fillId="8" borderId="1" xfId="0" applyFont="1" applyFill="1" applyBorder="1" applyAlignment="1" applyProtection="1">
      <alignment horizontal="center" vertical="center"/>
      <protection hidden="1"/>
    </xf>
    <xf numFmtId="0" fontId="14" fillId="5" borderId="1" xfId="0" applyFont="1" applyFill="1" applyBorder="1" applyAlignment="1" applyProtection="1">
      <alignment horizontal="center" vertical="center"/>
      <protection hidden="1"/>
    </xf>
    <xf numFmtId="184" fontId="7" fillId="0" borderId="2" xfId="0" applyNumberFormat="1" applyFont="1" applyBorder="1" applyAlignment="1">
      <alignment vertical="center"/>
    </xf>
    <xf numFmtId="184" fontId="7" fillId="0" borderId="4" xfId="1" applyNumberFormat="1" applyFont="1" applyBorder="1" applyAlignment="1">
      <alignment vertical="center"/>
    </xf>
    <xf numFmtId="184" fontId="7" fillId="0" borderId="34" xfId="1" applyNumberFormat="1" applyFont="1" applyBorder="1" applyAlignment="1">
      <alignment vertical="center"/>
    </xf>
    <xf numFmtId="184" fontId="7" fillId="0" borderId="6" xfId="1" applyNumberFormat="1" applyFont="1" applyBorder="1" applyAlignment="1">
      <alignment vertical="center"/>
    </xf>
    <xf numFmtId="184" fontId="7" fillId="0" borderId="4" xfId="0" applyNumberFormat="1" applyFont="1" applyBorder="1" applyAlignment="1">
      <alignment vertical="center"/>
    </xf>
    <xf numFmtId="184" fontId="7" fillId="0" borderId="34" xfId="0" applyNumberFormat="1" applyFont="1" applyBorder="1" applyAlignment="1">
      <alignment vertical="center"/>
    </xf>
    <xf numFmtId="184" fontId="7" fillId="0" borderId="6" xfId="0" applyNumberFormat="1" applyFont="1" applyBorder="1" applyAlignment="1">
      <alignment vertical="center"/>
    </xf>
    <xf numFmtId="184" fontId="7" fillId="0" borderId="35" xfId="1" applyNumberFormat="1" applyFont="1" applyBorder="1" applyAlignment="1">
      <alignment vertical="center"/>
    </xf>
    <xf numFmtId="184" fontId="7" fillId="0" borderId="36" xfId="1" applyNumberFormat="1" applyFont="1" applyBorder="1" applyAlignment="1">
      <alignment vertical="center"/>
    </xf>
    <xf numFmtId="184" fontId="7" fillId="0" borderId="37" xfId="1" applyNumberFormat="1" applyFont="1" applyBorder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184" fontId="7" fillId="0" borderId="35" xfId="1" applyNumberFormat="1" applyFont="1" applyBorder="1" applyAlignment="1" applyProtection="1">
      <alignment vertical="center"/>
    </xf>
    <xf numFmtId="184" fontId="7" fillId="0" borderId="36" xfId="1" applyNumberFormat="1" applyFont="1" applyBorder="1" applyAlignment="1" applyProtection="1">
      <alignment vertical="center"/>
    </xf>
    <xf numFmtId="184" fontId="7" fillId="0" borderId="37" xfId="1" applyNumberFormat="1" applyFont="1" applyBorder="1" applyAlignment="1" applyProtection="1">
      <alignment vertical="center"/>
    </xf>
    <xf numFmtId="184" fontId="9" fillId="3" borderId="2" xfId="0" applyNumberFormat="1" applyFont="1" applyFill="1" applyBorder="1" applyAlignment="1">
      <alignment vertical="center"/>
    </xf>
    <xf numFmtId="184" fontId="7" fillId="0" borderId="1" xfId="0" applyNumberFormat="1" applyFont="1" applyBorder="1" applyAlignment="1">
      <alignment vertical="center"/>
    </xf>
    <xf numFmtId="184" fontId="9" fillId="3" borderId="2" xfId="0" applyNumberFormat="1" applyFont="1" applyFill="1" applyBorder="1" applyAlignment="1">
      <alignment horizontal="right" vertical="center"/>
    </xf>
    <xf numFmtId="184" fontId="7" fillId="0" borderId="40" xfId="1" applyNumberFormat="1" applyFont="1" applyBorder="1" applyAlignment="1">
      <alignment vertical="center"/>
    </xf>
    <xf numFmtId="184" fontId="7" fillId="0" borderId="38" xfId="1" applyNumberFormat="1" applyFont="1" applyBorder="1" applyAlignment="1">
      <alignment vertical="center"/>
    </xf>
    <xf numFmtId="184" fontId="7" fillId="0" borderId="39" xfId="1" applyNumberFormat="1" applyFont="1" applyBorder="1" applyAlignment="1">
      <alignment vertical="center"/>
    </xf>
  </cellXfs>
  <cellStyles count="4">
    <cellStyle name="桁区切り" xfId="1" builtinId="6"/>
    <cellStyle name="桁区切り 2" xfId="3"/>
    <cellStyle name="標準" xfId="0" builtinId="0"/>
    <cellStyle name="標準 2" xfId="2"/>
  </cellStyles>
  <dxfs count="0"/>
  <tableStyles count="0" defaultTableStyle="TableStyleMedium2" defaultPivotStyle="PivotStyleLight16"/>
  <colors>
    <mruColors>
      <color rgb="FF11D384"/>
      <color rgb="FFFF6699"/>
      <color rgb="FFFFCCFF"/>
      <color rgb="FF99F22E"/>
      <color rgb="FFFFFFFF"/>
      <color rgb="FFFFFF99"/>
      <color rgb="FF7CD70D"/>
      <color rgb="FF42BAD2"/>
      <color rgb="FF458DCF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30" dropStyle="combo" dx="16" fmlaLink="計算シート!$A$44" fmlaRange="算定基礎データ!$U$2:$U$5" sel="1" val="0"/>
</file>

<file path=xl/ctrlProps/ctrlProp2.xml><?xml version="1.0" encoding="utf-8"?>
<formControlPr xmlns="http://schemas.microsoft.com/office/spreadsheetml/2009/9/main" objectType="Drop" dropLines="30" dropStyle="combo" dx="16" fmlaLink="計算シート!$A$45" fmlaRange="算定基礎データ!$U$2:$U$5" sel="1" val="0"/>
</file>

<file path=xl/ctrlProps/ctrlProp3.xml><?xml version="1.0" encoding="utf-8"?>
<formControlPr xmlns="http://schemas.microsoft.com/office/spreadsheetml/2009/9/main" objectType="Drop" dropLines="30" dropStyle="combo" dx="16" fmlaLink="計算シート!$A$46" fmlaRange="算定基礎データ!$U$2:$U$5" sel="1" val="0"/>
</file>

<file path=xl/ctrlProps/ctrlProp4.xml><?xml version="1.0" encoding="utf-8"?>
<formControlPr xmlns="http://schemas.microsoft.com/office/spreadsheetml/2009/9/main" objectType="Drop" dropLines="30" dropStyle="combo" dx="16" fmlaLink="計算シート!$A$47" fmlaRange="算定基礎データ!$U$2:$U$5" sel="1" val="0"/>
</file>

<file path=xl/ctrlProps/ctrlProp5.xml><?xml version="1.0" encoding="utf-8"?>
<formControlPr xmlns="http://schemas.microsoft.com/office/spreadsheetml/2009/9/main" objectType="Drop" dropLines="30" dropStyle="combo" dx="16" fmlaLink="計算シート!$A$48" fmlaRange="算定基礎データ!$U$2:$U$5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24</xdr:row>
          <xdr:rowOff>19050</xdr:rowOff>
        </xdr:from>
        <xdr:to>
          <xdr:col>1</xdr:col>
          <xdr:colOff>1114425</xdr:colOff>
          <xdr:row>24</xdr:row>
          <xdr:rowOff>266700</xdr:rowOff>
        </xdr:to>
        <xdr:sp macro="" textlink="">
          <xdr:nvSpPr>
            <xdr:cNvPr id="6153" name="Drop Down 9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25</xdr:row>
          <xdr:rowOff>19050</xdr:rowOff>
        </xdr:from>
        <xdr:to>
          <xdr:col>1</xdr:col>
          <xdr:colOff>1114425</xdr:colOff>
          <xdr:row>25</xdr:row>
          <xdr:rowOff>266700</xdr:rowOff>
        </xdr:to>
        <xdr:sp macro="" textlink="">
          <xdr:nvSpPr>
            <xdr:cNvPr id="6154" name="Drop Down 10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26</xdr:row>
          <xdr:rowOff>19050</xdr:rowOff>
        </xdr:from>
        <xdr:to>
          <xdr:col>1</xdr:col>
          <xdr:colOff>1114425</xdr:colOff>
          <xdr:row>26</xdr:row>
          <xdr:rowOff>266700</xdr:rowOff>
        </xdr:to>
        <xdr:sp macro="" textlink="">
          <xdr:nvSpPr>
            <xdr:cNvPr id="6155" name="Drop Down 11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27</xdr:row>
          <xdr:rowOff>19050</xdr:rowOff>
        </xdr:from>
        <xdr:to>
          <xdr:col>1</xdr:col>
          <xdr:colOff>1114425</xdr:colOff>
          <xdr:row>27</xdr:row>
          <xdr:rowOff>266700</xdr:rowOff>
        </xdr:to>
        <xdr:sp macro="" textlink="">
          <xdr:nvSpPr>
            <xdr:cNvPr id="6156" name="Drop Down 12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</xdr:colOff>
          <xdr:row>28</xdr:row>
          <xdr:rowOff>9525</xdr:rowOff>
        </xdr:from>
        <xdr:to>
          <xdr:col>1</xdr:col>
          <xdr:colOff>1114425</xdr:colOff>
          <xdr:row>28</xdr:row>
          <xdr:rowOff>257175</xdr:rowOff>
        </xdr:to>
        <xdr:sp macro="" textlink="">
          <xdr:nvSpPr>
            <xdr:cNvPr id="6157" name="Drop Down 13" hidden="1">
              <a:extLst>
                <a:ext uri="{63B3BB69-23CF-44E3-9099-C40C66FF867C}">
                  <a14:compatExt spid="_x0000_s61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914401</xdr:colOff>
      <xdr:row>14</xdr:row>
      <xdr:rowOff>71526</xdr:rowOff>
    </xdr:from>
    <xdr:to>
      <xdr:col>7</xdr:col>
      <xdr:colOff>1047751</xdr:colOff>
      <xdr:row>18</xdr:row>
      <xdr:rowOff>193862</xdr:rowOff>
    </xdr:to>
    <xdr:pic>
      <xdr:nvPicPr>
        <xdr:cNvPr id="7" name="Picture 7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ECF3FB"/>
            </a:clrFrom>
            <a:clrTo>
              <a:srgbClr val="ECF3FB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62826" y="2528976"/>
          <a:ext cx="1238250" cy="960536"/>
        </a:xfrm>
        <a:prstGeom prst="rect">
          <a:avLst/>
        </a:prstGeom>
        <a:noFill/>
        <a:ln w="9525">
          <a:noFill/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5</xdr:col>
      <xdr:colOff>704850</xdr:colOff>
      <xdr:row>24</xdr:row>
      <xdr:rowOff>171450</xdr:rowOff>
    </xdr:from>
    <xdr:to>
      <xdr:col>6</xdr:col>
      <xdr:colOff>390525</xdr:colOff>
      <xdr:row>25</xdr:row>
      <xdr:rowOff>104775</xdr:rowOff>
    </xdr:to>
    <xdr:sp macro="" textlink="">
      <xdr:nvSpPr>
        <xdr:cNvPr id="2" name="右矢印 1"/>
        <xdr:cNvSpPr/>
      </xdr:nvSpPr>
      <xdr:spPr>
        <a:xfrm>
          <a:off x="6048375" y="4829175"/>
          <a:ext cx="790575" cy="219075"/>
        </a:xfrm>
        <a:prstGeom prst="rightArrow">
          <a:avLst/>
        </a:prstGeom>
        <a:ln>
          <a:solidFill>
            <a:srgbClr val="002060"/>
          </a:solidFill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>
    <pageSetUpPr fitToPage="1"/>
  </sheetPr>
  <dimension ref="A1:J57"/>
  <sheetViews>
    <sheetView tabSelected="1" zoomScaleNormal="100" zoomScaleSheetLayoutView="85" workbookViewId="0">
      <selection activeCell="C23" sqref="C23"/>
    </sheetView>
  </sheetViews>
  <sheetFormatPr defaultRowHeight="18.75" x14ac:dyDescent="0.15"/>
  <cols>
    <col min="1" max="1" width="11.375" style="56" customWidth="1"/>
    <col min="2" max="2" width="14.875" style="56" customWidth="1"/>
    <col min="3" max="3" width="14.5" style="56" customWidth="1"/>
    <col min="4" max="4" width="14.875" style="56" customWidth="1"/>
    <col min="5" max="10" width="14.5" style="56" customWidth="1"/>
    <col min="11" max="16384" width="9" style="56"/>
  </cols>
  <sheetData>
    <row r="1" spans="1:9" ht="27.75" customHeight="1" x14ac:dyDescent="0.15">
      <c r="A1" s="135" t="str">
        <f>"比布町 国民健康保険税 仮計算（"&amp;計算シート!B1&amp;"版）"</f>
        <v>比布町 国民健康保険税 仮計算（令和５年度版）</v>
      </c>
      <c r="B1" s="135"/>
      <c r="C1" s="135"/>
      <c r="D1" s="135"/>
      <c r="E1" s="135"/>
      <c r="F1" s="135"/>
      <c r="G1" s="135"/>
      <c r="H1" s="135"/>
      <c r="I1" s="135"/>
    </row>
    <row r="2" spans="1:9" ht="8.25" customHeight="1" x14ac:dyDescent="0.15">
      <c r="A2" s="57"/>
      <c r="B2" s="57"/>
      <c r="C2" s="57"/>
      <c r="D2" s="57"/>
      <c r="E2" s="57"/>
      <c r="F2" s="57"/>
      <c r="G2" s="57"/>
      <c r="H2" s="57"/>
      <c r="I2" s="57"/>
    </row>
    <row r="3" spans="1:9" ht="16.5" customHeight="1" x14ac:dyDescent="0.15">
      <c r="A3" s="58" t="s">
        <v>138</v>
      </c>
      <c r="B3" s="59"/>
      <c r="C3" s="59"/>
      <c r="D3" s="59"/>
      <c r="E3" s="59"/>
      <c r="F3" s="59"/>
      <c r="G3" s="59"/>
      <c r="H3" s="59"/>
      <c r="I3" s="59"/>
    </row>
    <row r="4" spans="1:9" ht="16.5" customHeight="1" x14ac:dyDescent="0.15">
      <c r="A4" s="60" t="s">
        <v>133</v>
      </c>
      <c r="B4" s="59"/>
      <c r="C4" s="59"/>
      <c r="D4" s="59"/>
      <c r="E4" s="59"/>
      <c r="F4" s="59"/>
      <c r="G4" s="59"/>
      <c r="H4" s="59"/>
      <c r="I4" s="59"/>
    </row>
    <row r="5" spans="1:9" ht="16.5" customHeight="1" x14ac:dyDescent="0.15">
      <c r="A5" s="61" t="s">
        <v>119</v>
      </c>
      <c r="B5" s="59"/>
      <c r="C5" s="59"/>
      <c r="D5" s="59"/>
      <c r="E5" s="59"/>
      <c r="F5" s="59"/>
      <c r="G5" s="59"/>
      <c r="H5" s="59"/>
      <c r="I5" s="59"/>
    </row>
    <row r="6" spans="1:9" ht="16.5" customHeight="1" x14ac:dyDescent="0.15">
      <c r="A6" s="61" t="s">
        <v>120</v>
      </c>
      <c r="B6" s="59"/>
      <c r="C6" s="59"/>
      <c r="D6" s="59"/>
      <c r="E6" s="59"/>
      <c r="F6" s="59"/>
      <c r="G6" s="59"/>
      <c r="H6" s="59"/>
      <c r="I6" s="59"/>
    </row>
    <row r="7" spans="1:9" ht="16.5" customHeight="1" x14ac:dyDescent="0.15">
      <c r="A7" s="61" t="s">
        <v>128</v>
      </c>
      <c r="B7" s="59"/>
      <c r="C7" s="59"/>
      <c r="D7" s="59"/>
      <c r="E7" s="59"/>
      <c r="F7" s="59"/>
      <c r="G7" s="59"/>
      <c r="H7" s="59"/>
      <c r="I7" s="59"/>
    </row>
    <row r="8" spans="1:9" ht="16.5" customHeight="1" x14ac:dyDescent="0.15">
      <c r="A8" s="61" t="s">
        <v>151</v>
      </c>
      <c r="B8" s="59"/>
      <c r="C8" s="59"/>
      <c r="D8" s="59"/>
      <c r="E8" s="59"/>
      <c r="F8" s="59"/>
      <c r="G8" s="59"/>
      <c r="H8" s="59"/>
      <c r="I8" s="59"/>
    </row>
    <row r="9" spans="1:9" ht="16.5" customHeight="1" x14ac:dyDescent="0.15">
      <c r="A9" s="61" t="s">
        <v>147</v>
      </c>
      <c r="B9" s="59"/>
      <c r="C9" s="59"/>
      <c r="D9" s="59"/>
      <c r="E9" s="59"/>
      <c r="F9" s="59"/>
      <c r="G9" s="59"/>
      <c r="H9" s="59"/>
      <c r="I9" s="59"/>
    </row>
    <row r="10" spans="1:9" ht="16.5" customHeight="1" x14ac:dyDescent="0.15">
      <c r="A10" s="61" t="s">
        <v>148</v>
      </c>
      <c r="B10" s="59"/>
      <c r="C10" s="59"/>
      <c r="D10" s="59"/>
      <c r="E10" s="59"/>
      <c r="F10" s="59"/>
      <c r="G10" s="59"/>
      <c r="H10" s="59"/>
      <c r="I10" s="59"/>
    </row>
    <row r="11" spans="1:9" ht="16.5" customHeight="1" x14ac:dyDescent="0.15">
      <c r="A11" s="61" t="s">
        <v>149</v>
      </c>
      <c r="B11" s="59"/>
      <c r="C11" s="59"/>
      <c r="D11" s="59"/>
      <c r="E11" s="59"/>
      <c r="F11" s="59"/>
      <c r="G11" s="59"/>
      <c r="H11" s="59"/>
      <c r="I11" s="59"/>
    </row>
    <row r="12" spans="1:9" ht="16.5" customHeight="1" x14ac:dyDescent="0.15">
      <c r="A12" s="61" t="s">
        <v>150</v>
      </c>
      <c r="B12" s="59"/>
      <c r="C12" s="59"/>
      <c r="D12" s="59"/>
      <c r="E12" s="59"/>
      <c r="F12" s="59"/>
      <c r="G12" s="59"/>
      <c r="H12" s="59"/>
      <c r="I12" s="59"/>
    </row>
    <row r="13" spans="1:9" ht="16.5" customHeight="1" x14ac:dyDescent="0.15">
      <c r="A13" s="62" t="s">
        <v>136</v>
      </c>
      <c r="B13" s="59"/>
      <c r="C13" s="59"/>
      <c r="D13" s="59"/>
      <c r="E13" s="59"/>
      <c r="F13" s="59"/>
      <c r="G13" s="59"/>
      <c r="H13" s="59"/>
      <c r="I13" s="59"/>
    </row>
    <row r="14" spans="1:9" ht="9" customHeight="1" x14ac:dyDescent="0.15">
      <c r="A14" s="63"/>
      <c r="B14" s="64"/>
      <c r="C14" s="64"/>
      <c r="D14" s="64"/>
      <c r="E14" s="64"/>
      <c r="F14" s="65"/>
      <c r="G14" s="65"/>
      <c r="H14" s="65"/>
      <c r="I14" s="65"/>
    </row>
    <row r="15" spans="1:9" ht="16.5" customHeight="1" x14ac:dyDescent="0.15">
      <c r="A15" s="104" t="s">
        <v>139</v>
      </c>
      <c r="B15" s="66"/>
      <c r="C15" s="66"/>
      <c r="D15" s="66"/>
      <c r="E15" s="66"/>
      <c r="F15" s="66"/>
      <c r="G15" s="66"/>
      <c r="H15" s="66"/>
      <c r="I15" s="66"/>
    </row>
    <row r="16" spans="1:9" ht="16.5" customHeight="1" x14ac:dyDescent="0.15">
      <c r="A16" s="105" t="s">
        <v>134</v>
      </c>
      <c r="B16" s="66"/>
      <c r="C16" s="66"/>
      <c r="D16" s="66"/>
      <c r="E16" s="66"/>
      <c r="F16" s="66"/>
      <c r="G16" s="66"/>
      <c r="H16" s="66"/>
      <c r="I16" s="66"/>
    </row>
    <row r="17" spans="1:10" ht="16.5" customHeight="1" x14ac:dyDescent="0.15">
      <c r="A17" s="67" t="s">
        <v>129</v>
      </c>
      <c r="B17" s="66"/>
      <c r="C17" s="66"/>
      <c r="D17" s="66"/>
      <c r="E17" s="66"/>
      <c r="F17" s="66"/>
      <c r="G17" s="66"/>
      <c r="H17" s="66"/>
      <c r="I17" s="66"/>
    </row>
    <row r="18" spans="1:10" ht="16.5" customHeight="1" x14ac:dyDescent="0.15">
      <c r="A18" s="67" t="s">
        <v>131</v>
      </c>
      <c r="B18" s="66"/>
      <c r="C18" s="66"/>
      <c r="D18" s="66"/>
      <c r="E18" s="66"/>
      <c r="F18" s="66"/>
      <c r="G18" s="66"/>
      <c r="H18" s="66"/>
      <c r="I18" s="66"/>
    </row>
    <row r="19" spans="1:10" ht="16.5" customHeight="1" x14ac:dyDescent="0.15">
      <c r="A19" s="68" t="s">
        <v>132</v>
      </c>
      <c r="B19" s="66"/>
      <c r="C19" s="66"/>
      <c r="D19" s="66"/>
      <c r="E19" s="66"/>
      <c r="F19" s="66"/>
      <c r="G19" s="66"/>
      <c r="H19" s="66"/>
      <c r="I19" s="66"/>
    </row>
    <row r="20" spans="1:10" ht="16.5" customHeight="1" x14ac:dyDescent="0.15">
      <c r="A20" s="106"/>
      <c r="B20" s="107"/>
      <c r="C20" s="107"/>
      <c r="D20" s="107"/>
      <c r="E20" s="107"/>
      <c r="F20" s="107"/>
      <c r="G20" s="107"/>
      <c r="H20" s="107"/>
      <c r="I20" s="107"/>
    </row>
    <row r="21" spans="1:10" ht="15.75" customHeight="1" x14ac:dyDescent="0.15">
      <c r="A21" s="69"/>
      <c r="B21" s="57"/>
      <c r="C21" s="57"/>
      <c r="D21" s="57"/>
      <c r="E21" s="57"/>
      <c r="F21" s="57"/>
      <c r="G21" s="57"/>
      <c r="H21" s="57"/>
      <c r="I21" s="57"/>
    </row>
    <row r="22" spans="1:10" ht="19.5" thickBot="1" x14ac:dyDescent="0.2">
      <c r="A22" s="56" t="s">
        <v>121</v>
      </c>
      <c r="F22" s="70"/>
    </row>
    <row r="23" spans="1:10" ht="19.5" customHeight="1" x14ac:dyDescent="0.15">
      <c r="A23" s="138"/>
      <c r="B23" s="136" t="s">
        <v>87</v>
      </c>
      <c r="C23" s="71" t="s">
        <v>5</v>
      </c>
      <c r="D23" s="72" t="s">
        <v>127</v>
      </c>
      <c r="E23" s="108" t="s">
        <v>6</v>
      </c>
      <c r="F23" s="114"/>
      <c r="G23" s="113"/>
    </row>
    <row r="24" spans="1:10" ht="19.5" customHeight="1" thickBot="1" x14ac:dyDescent="0.2">
      <c r="A24" s="139"/>
      <c r="B24" s="137"/>
      <c r="C24" s="73" t="str">
        <f>LEFT(VLOOKUP(計算シート!G1-1,算定基礎データ!A1:T14,2,0),4)&amp;"中"</f>
        <v>令和４年中</v>
      </c>
      <c r="D24" s="74" t="str">
        <f>LEFT(VLOOKUP(計算シート!G1-1,算定基礎データ!A1:T14,2,0),4)&amp;"中"</f>
        <v>令和４年中</v>
      </c>
      <c r="E24" s="109" t="str">
        <f>LEFT(VLOOKUP(計算シート!G1-1,算定基礎データ!A1:T14,2,0),4)&amp;"中"</f>
        <v>令和４年中</v>
      </c>
      <c r="F24" s="115"/>
      <c r="G24" s="113"/>
    </row>
    <row r="25" spans="1:10" ht="22.5" customHeight="1" thickTop="1" x14ac:dyDescent="0.5">
      <c r="A25" s="75" t="s">
        <v>0</v>
      </c>
      <c r="B25" s="76"/>
      <c r="C25" s="77"/>
      <c r="D25" s="78"/>
      <c r="E25" s="110"/>
      <c r="F25" s="116"/>
      <c r="H25" s="133" t="s">
        <v>137</v>
      </c>
      <c r="I25" s="134"/>
    </row>
    <row r="26" spans="1:10" ht="22.5" customHeight="1" thickBot="1" x14ac:dyDescent="0.2">
      <c r="A26" s="79" t="s">
        <v>1</v>
      </c>
      <c r="B26" s="76"/>
      <c r="C26" s="80"/>
      <c r="D26" s="81"/>
      <c r="E26" s="111"/>
      <c r="F26" s="116"/>
      <c r="H26" s="131">
        <f>SUM(B43:J43)</f>
        <v>0</v>
      </c>
      <c r="I26" s="132"/>
    </row>
    <row r="27" spans="1:10" ht="22.5" customHeight="1" thickTop="1" x14ac:dyDescent="0.15">
      <c r="A27" s="79" t="s">
        <v>2</v>
      </c>
      <c r="B27" s="76"/>
      <c r="C27" s="80"/>
      <c r="D27" s="81"/>
      <c r="E27" s="111"/>
      <c r="F27" s="116"/>
      <c r="G27" s="69"/>
    </row>
    <row r="28" spans="1:10" ht="22.5" customHeight="1" x14ac:dyDescent="0.15">
      <c r="A28" s="79" t="s">
        <v>3</v>
      </c>
      <c r="B28" s="76"/>
      <c r="C28" s="80"/>
      <c r="D28" s="81"/>
      <c r="E28" s="111"/>
      <c r="F28" s="116"/>
    </row>
    <row r="29" spans="1:10" ht="22.5" customHeight="1" thickBot="1" x14ac:dyDescent="0.2">
      <c r="A29" s="82" t="s">
        <v>4</v>
      </c>
      <c r="B29" s="83"/>
      <c r="C29" s="84"/>
      <c r="D29" s="85"/>
      <c r="E29" s="112"/>
      <c r="F29" s="116"/>
    </row>
    <row r="30" spans="1:10" ht="12.75" customHeight="1" x14ac:dyDescent="0.15">
      <c r="A30" s="86"/>
      <c r="B30" s="87"/>
      <c r="C30" s="86"/>
      <c r="D30" s="86"/>
      <c r="E30" s="86"/>
      <c r="F30" s="86"/>
    </row>
    <row r="31" spans="1:10" ht="18" customHeight="1" x14ac:dyDescent="0.15">
      <c r="A31" s="88" t="s">
        <v>113</v>
      </c>
    </row>
    <row r="32" spans="1:10" ht="18" customHeight="1" x14ac:dyDescent="0.15">
      <c r="A32" s="128"/>
      <c r="B32" s="140" t="s">
        <v>44</v>
      </c>
      <c r="C32" s="140"/>
      <c r="D32" s="140"/>
      <c r="E32" s="140" t="s">
        <v>45</v>
      </c>
      <c r="F32" s="140"/>
      <c r="G32" s="140"/>
      <c r="H32" s="140" t="s">
        <v>123</v>
      </c>
      <c r="I32" s="140"/>
      <c r="J32" s="140"/>
    </row>
    <row r="33" spans="1:10" ht="18" customHeight="1" x14ac:dyDescent="0.15">
      <c r="A33" s="129"/>
      <c r="B33" s="89" t="s">
        <v>56</v>
      </c>
      <c r="C33" s="89" t="s">
        <v>51</v>
      </c>
      <c r="D33" s="89" t="s">
        <v>50</v>
      </c>
      <c r="E33" s="89" t="s">
        <v>56</v>
      </c>
      <c r="F33" s="89" t="s">
        <v>51</v>
      </c>
      <c r="G33" s="89" t="s">
        <v>50</v>
      </c>
      <c r="H33" s="89" t="s">
        <v>56</v>
      </c>
      <c r="I33" s="89" t="s">
        <v>51</v>
      </c>
      <c r="J33" s="89" t="s">
        <v>50</v>
      </c>
    </row>
    <row r="34" spans="1:10" ht="18" customHeight="1" x14ac:dyDescent="0.15">
      <c r="A34" s="90" t="s">
        <v>47</v>
      </c>
      <c r="B34" s="91">
        <f>計算シート!J40</f>
        <v>0</v>
      </c>
      <c r="C34" s="92">
        <f>計算シート!B2</f>
        <v>7.3999999999999996E-2</v>
      </c>
      <c r="D34" s="91">
        <f>計算シート!A57</f>
        <v>0</v>
      </c>
      <c r="E34" s="91">
        <f>計算シート!J40</f>
        <v>0</v>
      </c>
      <c r="F34" s="92">
        <f>計算シート!D2</f>
        <v>0.03</v>
      </c>
      <c r="G34" s="91">
        <f>計算シート!A65</f>
        <v>0</v>
      </c>
      <c r="H34" s="91">
        <f>計算シート!M40</f>
        <v>0</v>
      </c>
      <c r="I34" s="92">
        <f>計算シート!F2</f>
        <v>0.02</v>
      </c>
      <c r="J34" s="93">
        <f>計算シート!A73</f>
        <v>0</v>
      </c>
    </row>
    <row r="35" spans="1:10" ht="18" customHeight="1" x14ac:dyDescent="0.15">
      <c r="A35" s="90" t="s">
        <v>48</v>
      </c>
      <c r="B35" s="94">
        <f>計算シート!C49</f>
        <v>0</v>
      </c>
      <c r="C35" s="95">
        <f>計算シート!B4</f>
        <v>23000</v>
      </c>
      <c r="D35" s="91">
        <f>計算シート!C57</f>
        <v>0</v>
      </c>
      <c r="E35" s="94">
        <f>計算シート!C49</f>
        <v>0</v>
      </c>
      <c r="F35" s="96">
        <f>計算シート!D4</f>
        <v>8000</v>
      </c>
      <c r="G35" s="91">
        <f>計算シート!C65</f>
        <v>0</v>
      </c>
      <c r="H35" s="97">
        <f>計算シート!B49</f>
        <v>0</v>
      </c>
      <c r="I35" s="96">
        <f>計算シート!F4</f>
        <v>8000</v>
      </c>
      <c r="J35" s="93">
        <f>計算シート!C73</f>
        <v>0</v>
      </c>
    </row>
    <row r="36" spans="1:10" ht="18" customHeight="1" x14ac:dyDescent="0.15">
      <c r="A36" s="90" t="s">
        <v>49</v>
      </c>
      <c r="B36" s="94">
        <v>1</v>
      </c>
      <c r="C36" s="95">
        <f>計算シート!B5</f>
        <v>25000</v>
      </c>
      <c r="D36" s="91">
        <f>計算シート!D57</f>
        <v>0</v>
      </c>
      <c r="E36" s="94">
        <v>1</v>
      </c>
      <c r="F36" s="96">
        <f>計算シート!D5</f>
        <v>8000</v>
      </c>
      <c r="G36" s="91">
        <f>計算シート!D65</f>
        <v>0</v>
      </c>
      <c r="H36" s="97">
        <f>IF(計算シート!B49=0,0,1)</f>
        <v>0</v>
      </c>
      <c r="I36" s="96">
        <f>計算シート!F5</f>
        <v>6000</v>
      </c>
      <c r="J36" s="93">
        <f>計算シート!D73</f>
        <v>0</v>
      </c>
    </row>
    <row r="37" spans="1:10" ht="18" customHeight="1" x14ac:dyDescent="0.15">
      <c r="A37" s="90" t="s">
        <v>52</v>
      </c>
      <c r="B37" s="97" t="str">
        <f>IF(C37=計算シート!B6,"！賦課限度額！","")</f>
        <v/>
      </c>
      <c r="C37" s="125">
        <f>計算シート!G57</f>
        <v>0</v>
      </c>
      <c r="D37" s="127"/>
      <c r="E37" s="97" t="str">
        <f>IF(F37=計算シート!D6,"！賦課限度額！","")</f>
        <v/>
      </c>
      <c r="F37" s="125">
        <f>計算シート!G65</f>
        <v>0</v>
      </c>
      <c r="G37" s="127"/>
      <c r="H37" s="97" t="str">
        <f>IF(I37=計算シート!F6,"！賦課限度額！","")</f>
        <v/>
      </c>
      <c r="I37" s="125">
        <f>計算シート!G73</f>
        <v>0</v>
      </c>
      <c r="J37" s="127"/>
    </row>
    <row r="38" spans="1:10" ht="18" customHeight="1" x14ac:dyDescent="0.15">
      <c r="A38" s="141" t="s">
        <v>55</v>
      </c>
      <c r="B38" s="97" t="s">
        <v>53</v>
      </c>
      <c r="C38" s="130" t="str">
        <f>計算シート!G51</f>
        <v/>
      </c>
      <c r="D38" s="130"/>
      <c r="E38" s="97" t="s">
        <v>53</v>
      </c>
      <c r="F38" s="130" t="str">
        <f>計算シート!G51</f>
        <v/>
      </c>
      <c r="G38" s="130"/>
      <c r="H38" s="97" t="s">
        <v>53</v>
      </c>
      <c r="I38" s="130" t="str">
        <f>計算シート!G51</f>
        <v/>
      </c>
      <c r="J38" s="130"/>
    </row>
    <row r="39" spans="1:10" ht="18" customHeight="1" x14ac:dyDescent="0.15">
      <c r="A39" s="141"/>
      <c r="B39" s="97" t="s">
        <v>48</v>
      </c>
      <c r="C39" s="121">
        <f>計算シート!G53</f>
        <v>0</v>
      </c>
      <c r="D39" s="121"/>
      <c r="E39" s="97" t="s">
        <v>48</v>
      </c>
      <c r="F39" s="121">
        <f>計算シート!G61</f>
        <v>0</v>
      </c>
      <c r="G39" s="121"/>
      <c r="H39" s="97" t="s">
        <v>48</v>
      </c>
      <c r="I39" s="121">
        <f>計算シート!G69</f>
        <v>0</v>
      </c>
      <c r="J39" s="121"/>
    </row>
    <row r="40" spans="1:10" ht="18" customHeight="1" x14ac:dyDescent="0.15">
      <c r="A40" s="141"/>
      <c r="B40" s="97" t="s">
        <v>49</v>
      </c>
      <c r="C40" s="121">
        <f>計算シート!G55</f>
        <v>0</v>
      </c>
      <c r="D40" s="121"/>
      <c r="E40" s="97" t="s">
        <v>49</v>
      </c>
      <c r="F40" s="121">
        <f>計算シート!G63</f>
        <v>0</v>
      </c>
      <c r="G40" s="121"/>
      <c r="H40" s="97" t="s">
        <v>49</v>
      </c>
      <c r="I40" s="121">
        <f>計算シート!G71</f>
        <v>0</v>
      </c>
      <c r="J40" s="121"/>
    </row>
    <row r="41" spans="1:10" ht="18" customHeight="1" x14ac:dyDescent="0.15">
      <c r="A41" s="141"/>
      <c r="B41" s="97" t="s">
        <v>54</v>
      </c>
      <c r="C41" s="121">
        <f>SUM(C39:D40)</f>
        <v>0</v>
      </c>
      <c r="D41" s="121"/>
      <c r="E41" s="97" t="s">
        <v>54</v>
      </c>
      <c r="F41" s="121">
        <f>SUM(F39:G40)</f>
        <v>0</v>
      </c>
      <c r="G41" s="121"/>
      <c r="H41" s="97" t="s">
        <v>54</v>
      </c>
      <c r="I41" s="121">
        <f>SUM(I39:J40)</f>
        <v>0</v>
      </c>
      <c r="J41" s="121"/>
    </row>
    <row r="42" spans="1:10" ht="18" customHeight="1" x14ac:dyDescent="0.15">
      <c r="A42" s="123" t="s">
        <v>111</v>
      </c>
      <c r="B42" s="125">
        <f>C37-C41</f>
        <v>0</v>
      </c>
      <c r="C42" s="126"/>
      <c r="D42" s="127"/>
      <c r="E42" s="125">
        <f>F37-F41</f>
        <v>0</v>
      </c>
      <c r="F42" s="126"/>
      <c r="G42" s="127"/>
      <c r="H42" s="125">
        <f>I37-I41</f>
        <v>0</v>
      </c>
      <c r="I42" s="126"/>
      <c r="J42" s="127"/>
    </row>
    <row r="43" spans="1:10" ht="18" customHeight="1" x14ac:dyDescent="0.15">
      <c r="A43" s="124"/>
      <c r="B43" s="121">
        <f>ROUNDDOWN(B42,-2)</f>
        <v>0</v>
      </c>
      <c r="C43" s="122"/>
      <c r="D43" s="122"/>
      <c r="E43" s="121">
        <f>ROUNDDOWN(E42,-2)</f>
        <v>0</v>
      </c>
      <c r="F43" s="122"/>
      <c r="G43" s="122"/>
      <c r="H43" s="121">
        <f>ROUNDDOWN(H42,-2)</f>
        <v>0</v>
      </c>
      <c r="I43" s="122"/>
      <c r="J43" s="122"/>
    </row>
    <row r="44" spans="1:10" x14ac:dyDescent="0.15">
      <c r="D44" s="56" t="s">
        <v>112</v>
      </c>
      <c r="G44" s="56" t="s">
        <v>112</v>
      </c>
      <c r="J44" s="56" t="s">
        <v>112</v>
      </c>
    </row>
    <row r="45" spans="1:10" ht="11.25" customHeight="1" x14ac:dyDescent="0.15">
      <c r="D45" s="98"/>
    </row>
    <row r="46" spans="1:10" ht="14.25" customHeight="1" x14ac:dyDescent="0.15">
      <c r="B46" s="99" t="s">
        <v>135</v>
      </c>
    </row>
    <row r="47" spans="1:10" ht="16.5" customHeight="1" x14ac:dyDescent="0.15">
      <c r="B47" s="100" t="s">
        <v>27</v>
      </c>
      <c r="C47" s="100" t="s">
        <v>28</v>
      </c>
      <c r="D47" s="100" t="s">
        <v>29</v>
      </c>
      <c r="E47" s="100" t="s">
        <v>30</v>
      </c>
      <c r="F47" s="100" t="s">
        <v>31</v>
      </c>
      <c r="G47" s="100" t="s">
        <v>32</v>
      </c>
      <c r="H47" s="100" t="s">
        <v>33</v>
      </c>
      <c r="I47" s="100" t="s">
        <v>34</v>
      </c>
    </row>
    <row r="48" spans="1:10" ht="16.5" customHeight="1" x14ac:dyDescent="0.15">
      <c r="B48" s="100" t="s">
        <v>35</v>
      </c>
      <c r="C48" s="100" t="s">
        <v>36</v>
      </c>
      <c r="D48" s="100" t="s">
        <v>37</v>
      </c>
      <c r="E48" s="100" t="s">
        <v>38</v>
      </c>
      <c r="F48" s="100" t="s">
        <v>39</v>
      </c>
      <c r="G48" s="100" t="s">
        <v>40</v>
      </c>
      <c r="H48" s="100" t="s">
        <v>41</v>
      </c>
      <c r="I48" s="100" t="s">
        <v>42</v>
      </c>
    </row>
    <row r="49" spans="1:10" ht="22.5" customHeight="1" x14ac:dyDescent="0.15">
      <c r="B49" s="91">
        <f>H26-(SUM(I49+H49+G49+F49+E49+D49+C49))</f>
        <v>0</v>
      </c>
      <c r="C49" s="91">
        <f t="shared" ref="C49:I49" si="0">ROUNDDOWN(($H$26/8),-3)</f>
        <v>0</v>
      </c>
      <c r="D49" s="91">
        <f t="shared" si="0"/>
        <v>0</v>
      </c>
      <c r="E49" s="91">
        <f t="shared" si="0"/>
        <v>0</v>
      </c>
      <c r="F49" s="91">
        <f t="shared" si="0"/>
        <v>0</v>
      </c>
      <c r="G49" s="91">
        <f t="shared" si="0"/>
        <v>0</v>
      </c>
      <c r="H49" s="91">
        <f t="shared" si="0"/>
        <v>0</v>
      </c>
      <c r="I49" s="91">
        <f t="shared" si="0"/>
        <v>0</v>
      </c>
      <c r="J49" s="101"/>
    </row>
    <row r="50" spans="1:10" ht="10.5" customHeight="1" x14ac:dyDescent="0.15"/>
    <row r="51" spans="1:10" x14ac:dyDescent="0.15">
      <c r="A51" s="56" t="s">
        <v>43</v>
      </c>
    </row>
    <row r="52" spans="1:10" x14ac:dyDescent="0.15">
      <c r="A52" s="102" t="s">
        <v>122</v>
      </c>
    </row>
    <row r="53" spans="1:10" x14ac:dyDescent="0.15">
      <c r="A53" s="103"/>
    </row>
    <row r="54" spans="1:10" x14ac:dyDescent="0.15">
      <c r="A54" s="103"/>
    </row>
    <row r="55" spans="1:10" x14ac:dyDescent="0.15">
      <c r="A55" s="103"/>
    </row>
    <row r="56" spans="1:10" x14ac:dyDescent="0.15">
      <c r="A56" s="103"/>
    </row>
    <row r="57" spans="1:10" x14ac:dyDescent="0.15">
      <c r="A57" s="103"/>
    </row>
  </sheetData>
  <sheetProtection algorithmName="SHA-512" hashValue="nrhPm3FX2v91NRL0+ARdASLpSaxNiINF/18Qp53fqNjGmogbMSFPd6Rr7wdra84vDZrIxshWCYIqP6l/Daa3xQ==" saltValue="76x+HRDR74/8hahKQn/45Q==" spinCount="100000" sheet="1" objects="1" scenarios="1"/>
  <mergeCells count="32">
    <mergeCell ref="H26:I26"/>
    <mergeCell ref="H25:I25"/>
    <mergeCell ref="C39:D39"/>
    <mergeCell ref="A1:I1"/>
    <mergeCell ref="B23:B24"/>
    <mergeCell ref="A23:A24"/>
    <mergeCell ref="C38:D38"/>
    <mergeCell ref="C37:D37"/>
    <mergeCell ref="F37:G37"/>
    <mergeCell ref="B32:D32"/>
    <mergeCell ref="E32:G32"/>
    <mergeCell ref="H32:J32"/>
    <mergeCell ref="A38:A41"/>
    <mergeCell ref="I41:J41"/>
    <mergeCell ref="I40:J40"/>
    <mergeCell ref="I38:J38"/>
    <mergeCell ref="A32:A33"/>
    <mergeCell ref="I37:J37"/>
    <mergeCell ref="F40:G40"/>
    <mergeCell ref="H42:J42"/>
    <mergeCell ref="F38:G38"/>
    <mergeCell ref="H43:J43"/>
    <mergeCell ref="E43:G43"/>
    <mergeCell ref="B43:D43"/>
    <mergeCell ref="I39:J39"/>
    <mergeCell ref="A42:A43"/>
    <mergeCell ref="F39:G39"/>
    <mergeCell ref="C41:D41"/>
    <mergeCell ref="C40:D40"/>
    <mergeCell ref="B42:D42"/>
    <mergeCell ref="E42:G42"/>
    <mergeCell ref="F41:G41"/>
  </mergeCells>
  <phoneticPr fontId="2"/>
  <pageMargins left="0.70866141732283472" right="0.70866141732283472" top="0.74803149606299213" bottom="0.74803149606299213" header="0.31496062992125984" footer="0.31496062992125984"/>
  <pageSetup paperSize="8" scale="89" fitToWidth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3" r:id="rId4" name="Drop Down 9">
              <controlPr defaultSize="0" autoLine="0" autoPict="0">
                <anchor moveWithCells="1">
                  <from>
                    <xdr:col>1</xdr:col>
                    <xdr:colOff>19050</xdr:colOff>
                    <xdr:row>24</xdr:row>
                    <xdr:rowOff>19050</xdr:rowOff>
                  </from>
                  <to>
                    <xdr:col>1</xdr:col>
                    <xdr:colOff>1114425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5" name="Drop Down 10">
              <controlPr defaultSize="0" autoLine="0" autoPict="0">
                <anchor moveWithCells="1">
                  <from>
                    <xdr:col>1</xdr:col>
                    <xdr:colOff>19050</xdr:colOff>
                    <xdr:row>25</xdr:row>
                    <xdr:rowOff>19050</xdr:rowOff>
                  </from>
                  <to>
                    <xdr:col>1</xdr:col>
                    <xdr:colOff>1114425</xdr:colOff>
                    <xdr:row>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6" name="Drop Down 11">
              <controlPr defaultSize="0" autoLine="0" autoPict="0">
                <anchor moveWithCells="1">
                  <from>
                    <xdr:col>1</xdr:col>
                    <xdr:colOff>19050</xdr:colOff>
                    <xdr:row>26</xdr:row>
                    <xdr:rowOff>19050</xdr:rowOff>
                  </from>
                  <to>
                    <xdr:col>1</xdr:col>
                    <xdr:colOff>1114425</xdr:colOff>
                    <xdr:row>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6" r:id="rId7" name="Drop Down 12">
              <controlPr defaultSize="0" autoLine="0" autoPict="0">
                <anchor moveWithCells="1">
                  <from>
                    <xdr:col>1</xdr:col>
                    <xdr:colOff>19050</xdr:colOff>
                    <xdr:row>27</xdr:row>
                    <xdr:rowOff>19050</xdr:rowOff>
                  </from>
                  <to>
                    <xdr:col>1</xdr:col>
                    <xdr:colOff>1114425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7" r:id="rId8" name="Drop Down 13">
              <controlPr defaultSize="0" autoLine="0" autoPict="0">
                <anchor moveWithCells="1">
                  <from>
                    <xdr:col>1</xdr:col>
                    <xdr:colOff>19050</xdr:colOff>
                    <xdr:row>28</xdr:row>
                    <xdr:rowOff>9525</xdr:rowOff>
                  </from>
                  <to>
                    <xdr:col>1</xdr:col>
                    <xdr:colOff>1114425</xdr:colOff>
                    <xdr:row>28</xdr:row>
                    <xdr:rowOff>257175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O73"/>
  <sheetViews>
    <sheetView showGridLines="0" zoomScale="85" zoomScaleNormal="85" workbookViewId="0">
      <selection activeCell="G6" sqref="G6"/>
    </sheetView>
  </sheetViews>
  <sheetFormatPr defaultRowHeight="13.5" x14ac:dyDescent="0.15"/>
  <cols>
    <col min="1" max="15" width="17.5" style="7" customWidth="1"/>
    <col min="16" max="16384" width="9" style="7"/>
  </cols>
  <sheetData>
    <row r="1" spans="1:15" ht="14.25" thickBot="1" x14ac:dyDescent="0.2">
      <c r="A1" s="2" t="s">
        <v>57</v>
      </c>
      <c r="B1" s="3" t="str">
        <f>VLOOKUP(G1,算定基礎データ!A1:T14,2,0)</f>
        <v>令和５年度</v>
      </c>
      <c r="C1" s="2" t="s">
        <v>58</v>
      </c>
      <c r="D1" s="4">
        <v>12</v>
      </c>
      <c r="E1" s="2" t="s">
        <v>59</v>
      </c>
      <c r="F1" s="5">
        <f>IF(B49&gt;=1,12,0)</f>
        <v>0</v>
      </c>
      <c r="G1" s="120">
        <v>6</v>
      </c>
      <c r="H1" s="6" t="s">
        <v>79</v>
      </c>
    </row>
    <row r="2" spans="1:15" x14ac:dyDescent="0.15">
      <c r="A2" s="2" t="s">
        <v>60</v>
      </c>
      <c r="B2" s="8">
        <f>VLOOKUP(B1,算定基礎データ!B2:T14,2,0)</f>
        <v>7.3999999999999996E-2</v>
      </c>
      <c r="C2" s="2" t="s">
        <v>65</v>
      </c>
      <c r="D2" s="8">
        <f>VLOOKUP(B1,算定基礎データ!B2:T14,6,0)</f>
        <v>0.03</v>
      </c>
      <c r="E2" s="2" t="s">
        <v>70</v>
      </c>
      <c r="F2" s="8">
        <f>VLOOKUP(B1,算定基礎データ!B2:T14,10,0)</f>
        <v>0.02</v>
      </c>
      <c r="G2" s="9" t="s">
        <v>114</v>
      </c>
    </row>
    <row r="3" spans="1:15" x14ac:dyDescent="0.15">
      <c r="A3" s="2" t="s">
        <v>61</v>
      </c>
      <c r="B3" s="8">
        <f>VLOOKUP(B1,算定基礎データ!B2:T14,3,0)</f>
        <v>0</v>
      </c>
      <c r="C3" s="2" t="s">
        <v>66</v>
      </c>
      <c r="D3" s="8">
        <f>VLOOKUP(B1,算定基礎データ!B2:T14,7,0)</f>
        <v>0</v>
      </c>
      <c r="E3" s="2" t="s">
        <v>71</v>
      </c>
      <c r="F3" s="8">
        <f>VLOOKUP(B1,算定基礎データ!B2:T14,11,0)</f>
        <v>0</v>
      </c>
    </row>
    <row r="4" spans="1:15" x14ac:dyDescent="0.15">
      <c r="A4" s="2" t="s">
        <v>62</v>
      </c>
      <c r="B4" s="10">
        <f>VLOOKUP(B1,算定基礎データ!B2:T14,4,0)</f>
        <v>23000</v>
      </c>
      <c r="C4" s="2" t="s">
        <v>67</v>
      </c>
      <c r="D4" s="10">
        <f>VLOOKUP(B1,算定基礎データ!B2:T14,8,0)</f>
        <v>8000</v>
      </c>
      <c r="E4" s="2" t="s">
        <v>72</v>
      </c>
      <c r="F4" s="10">
        <f>VLOOKUP(B1,算定基礎データ!B2:T14,12,0)</f>
        <v>8000</v>
      </c>
    </row>
    <row r="5" spans="1:15" x14ac:dyDescent="0.15">
      <c r="A5" s="2" t="s">
        <v>63</v>
      </c>
      <c r="B5" s="10">
        <f>VLOOKUP(B1,算定基礎データ!B2:T14,5,0)</f>
        <v>25000</v>
      </c>
      <c r="C5" s="2" t="s">
        <v>68</v>
      </c>
      <c r="D5" s="10">
        <f>VLOOKUP(B1,算定基礎データ!B2:T14,9,0)</f>
        <v>8000</v>
      </c>
      <c r="E5" s="2" t="s">
        <v>73</v>
      </c>
      <c r="F5" s="10">
        <f>VLOOKUP(B1,算定基礎データ!B2:T14,13,0)</f>
        <v>6000</v>
      </c>
      <c r="G5" s="2" t="s">
        <v>118</v>
      </c>
      <c r="H5" s="11" t="s">
        <v>117</v>
      </c>
    </row>
    <row r="6" spans="1:15" x14ac:dyDescent="0.15">
      <c r="A6" s="2" t="s">
        <v>64</v>
      </c>
      <c r="B6" s="10">
        <f>VLOOKUP(B1,算定基礎データ!B2:T14,14,0)</f>
        <v>650000</v>
      </c>
      <c r="C6" s="2" t="s">
        <v>69</v>
      </c>
      <c r="D6" s="10">
        <f>VLOOKUP(B1,算定基礎データ!B2:T14,15,0)</f>
        <v>200000</v>
      </c>
      <c r="E6" s="2" t="s">
        <v>46</v>
      </c>
      <c r="F6" s="10">
        <f>VLOOKUP(B1,算定基礎データ!B2:T14,16,0)</f>
        <v>170000</v>
      </c>
      <c r="G6" s="10">
        <f>VLOOKUP(B1,算定基礎データ!B2:T14,17,0)</f>
        <v>290000</v>
      </c>
      <c r="H6" s="10">
        <f>VLOOKUP(B1,算定基礎データ!B2:T14,18,0)</f>
        <v>535000</v>
      </c>
    </row>
    <row r="7" spans="1:15" x14ac:dyDescent="0.15">
      <c r="A7" s="12"/>
      <c r="C7" s="13"/>
      <c r="D7" s="13"/>
      <c r="E7" s="14"/>
      <c r="F7" s="15"/>
    </row>
    <row r="8" spans="1:15" ht="14.25" x14ac:dyDescent="0.15">
      <c r="A8" s="1" t="s">
        <v>143</v>
      </c>
      <c r="B8" s="15"/>
      <c r="C8" s="12"/>
      <c r="D8" s="15"/>
      <c r="E8" s="16"/>
      <c r="F8" s="15"/>
    </row>
    <row r="9" spans="1:15" x14ac:dyDescent="0.15">
      <c r="A9" s="17" t="s">
        <v>80</v>
      </c>
      <c r="B9" s="17" t="s">
        <v>144</v>
      </c>
      <c r="C9" s="17" t="s">
        <v>82</v>
      </c>
      <c r="D9" s="17" t="s">
        <v>142</v>
      </c>
      <c r="E9" s="18" t="s">
        <v>81</v>
      </c>
      <c r="F9" s="18" t="s">
        <v>101</v>
      </c>
      <c r="G9" s="152" t="s">
        <v>102</v>
      </c>
      <c r="H9" s="152"/>
      <c r="I9" s="18" t="s">
        <v>88</v>
      </c>
      <c r="J9" s="19" t="s">
        <v>99</v>
      </c>
      <c r="K9" s="19" t="s">
        <v>145</v>
      </c>
      <c r="L9" s="20" t="s">
        <v>100</v>
      </c>
      <c r="M9" s="21" t="s">
        <v>83</v>
      </c>
      <c r="N9" s="2" t="s">
        <v>109</v>
      </c>
      <c r="O9" s="2" t="s">
        <v>110</v>
      </c>
    </row>
    <row r="10" spans="1:15" x14ac:dyDescent="0.15">
      <c r="A10" s="142">
        <f>IF(試算シート!C25&lt;1628000,IF(試算シート!C25&lt;1624000,IF(試算シート!C25&lt;1622000,IF(試算シート!C25&lt;1620000,IF(試算シート!C25&lt;1619000,IF(試算シート!C25&lt;551000,0,試算シート!C25-550000),1069000),1070000),1072000),1074000),0)</f>
        <v>0</v>
      </c>
      <c r="B10" s="142">
        <f>IF(AND(A10+F10&gt;100000,A10&gt;0),IF(A10&gt;100000,100000,A10)+IF(F10&gt;100000,100000,F10)-100000,0)</f>
        <v>0</v>
      </c>
      <c r="C10" s="157">
        <f>試算シート!E25</f>
        <v>0</v>
      </c>
      <c r="D10" s="146">
        <f>A10+A13+C10</f>
        <v>0</v>
      </c>
      <c r="E10" s="22">
        <f>IF(AND(A44&lt;=3,D10&lt;=10000000),IF(試算シート!D25&lt;=10000000,IF(試算シート!D25&lt;=7700000,IF(試算シート!D25&lt;=4100000,IF(試算シート!D25&lt;=1300000,IF(試算シート!D25&lt;=600000,0,ROUNDDOWN(試算シート!D25-600000,0)),ROUNDDOWN(試算シート!D25*0.75-275000,0)),ROUNDDOWN(試算シート!D25*0.85-685000,0)),ROUNDDOWN(試算シート!D25*0.95-1455000,0)),ROUNDDOWN(試算シート!D25-1955000,0)),0)</f>
        <v>0</v>
      </c>
      <c r="F10" s="149">
        <f>SUM(E10:E15)</f>
        <v>0</v>
      </c>
      <c r="G10" s="143">
        <f>IF(A44=4,F10-150000,F10)</f>
        <v>0</v>
      </c>
      <c r="H10" s="153">
        <f>IF(G10&lt;0,0,G10)</f>
        <v>0</v>
      </c>
      <c r="I10" s="146">
        <f>(SUM(A10:A15)-SUM(B10:B15)+F10+C10)</f>
        <v>0</v>
      </c>
      <c r="J10" s="146">
        <f>IF((SUM(A10:A15)-SUM(B10:B15)+H10+C10)&lt;=0,0,(SUM(A10:A15)-SUM(B10:B15)+H10+C10))</f>
        <v>0</v>
      </c>
      <c r="K10" s="146">
        <f>IF(I10&lt;=24000000,430000,IF(AND(I10&gt;24000000,I10&lt;=24500000),290000,IF(AND(I10&gt;24500000,I10&lt;=25000000),150000,0)))</f>
        <v>430000</v>
      </c>
      <c r="L10" s="143">
        <f>IF(A44=1,0,IF(I10-K10&lt;0,0,I10-K10))</f>
        <v>0</v>
      </c>
      <c r="M10" s="146">
        <f>IF(A44=1,0,試算シート!F25)</f>
        <v>0</v>
      </c>
      <c r="N10" s="143">
        <f>IF(E68=0,0,L10)</f>
        <v>0</v>
      </c>
      <c r="O10" s="143">
        <f>IF(E68=0,0,M10)</f>
        <v>0</v>
      </c>
    </row>
    <row r="11" spans="1:15" x14ac:dyDescent="0.15">
      <c r="A11" s="142"/>
      <c r="B11" s="142"/>
      <c r="C11" s="157"/>
      <c r="D11" s="147"/>
      <c r="E11" s="22">
        <f>IF(AND(A44&lt;=3,D10&gt;10000000,D10&lt;=20000000),IF(試算シート!D25&lt;=10000000,IF(試算シート!D25&lt;=7700000,IF(試算シート!D25&lt;=4100000,IF(試算シート!D25&lt;=1300000,IF(試算シート!D25&lt;=500000,0,ROUNDDOWN(試算シート!D25-500000,0)),ROUNDDOWN(試算シート!D25*0.75-175000,0)),ROUNDDOWN(試算シート!D25*0.85-585000,0)),ROUNDDOWN(試算シート!D25*0.95-1355000,0)),ROUNDDOWN(試算シート!D25-1855000,0)),0)</f>
        <v>0</v>
      </c>
      <c r="F11" s="150"/>
      <c r="G11" s="144"/>
      <c r="H11" s="154"/>
      <c r="I11" s="147"/>
      <c r="J11" s="147"/>
      <c r="K11" s="147"/>
      <c r="L11" s="144"/>
      <c r="M11" s="147"/>
      <c r="N11" s="144"/>
      <c r="O11" s="144"/>
    </row>
    <row r="12" spans="1:15" x14ac:dyDescent="0.15">
      <c r="A12" s="142"/>
      <c r="B12" s="142"/>
      <c r="C12" s="157"/>
      <c r="D12" s="147"/>
      <c r="E12" s="22">
        <f>IF(AND(A44&lt;=3,D10&gt;20000000),IF(試算シート!D25&lt;10000000,IF(試算シート!D25&lt;=7700000,IF(試算シート!D25&lt;=4100000,IF(試算シート!D25&lt;=1300000,IF(試算シート!D25&lt;=400000,0,ROUNDDOWN(試算シート!D25-400000,0)),ROUNDDOWN(試算シート!D25*0.75-75000,0)),ROUNDDOWN(試算シート!D25*0.85-485000,0)),ROUNDDOWN(試算シート!D25*0.95-1255000,0)),ROUNDDOWN(試算シート!D25-1755000,0)),0)</f>
        <v>0</v>
      </c>
      <c r="F12" s="150"/>
      <c r="G12" s="144"/>
      <c r="H12" s="154"/>
      <c r="I12" s="147"/>
      <c r="J12" s="147"/>
      <c r="K12" s="147"/>
      <c r="L12" s="144"/>
      <c r="M12" s="147"/>
      <c r="N12" s="144"/>
      <c r="O12" s="144"/>
    </row>
    <row r="13" spans="1:15" x14ac:dyDescent="0.15">
      <c r="A13" s="156">
        <f>IF(試算シート!C25&lt;8500000,IF(試算シート!C25&lt;6600000,IF(試算シート!C25&lt;3600000,IF(試算シート!C25&lt;1800000,IF(試算シート!C25&lt;1628000,0,ROUNDDOWN(試算シート!C25/4,-3)*4*0.6+100000),ROUNDDOWN(試算シート!C25/4,-3)*4*0.7-80000),ROUNDDOWN(試算シート!C25/4,-3)*4*0.8-440000),ROUNDDOWN(試算シート!C25*0.9-1100000,0)),ROUNDDOWN(試算シート!C25-1950000,0))</f>
        <v>0</v>
      </c>
      <c r="B13" s="142">
        <f>IF(AND(A13+F10&gt;100000,A13&gt;0),IF(A13&gt;100000,100000,A13)+IF(F10&gt;100000,100000,F10)-100000,0)</f>
        <v>0</v>
      </c>
      <c r="C13" s="157"/>
      <c r="D13" s="147"/>
      <c r="E13" s="22">
        <f>IF(AND(A44=4,D10&lt;=10000000),IF(試算シート!D25&lt;=10000000,IF(試算シート!D25&lt;=7700000,IF(試算シート!D25&lt;=4100000,IF(試算シート!D25&lt;=3300000,IF(試算シート!D25&lt;=1100000,0,ROUNDDOWN(試算シート!D25-1100000,0)),ROUNDDOWN(試算シート!D25*0.75-275000,0)),ROUNDDOWN(試算シート!D25*0.85-685000,0)),ROUNDDOWN(試算シート!D25*0.95-1455000,0)),ROUNDDOWN(試算シート!D25-1955000,0)),0)</f>
        <v>0</v>
      </c>
      <c r="F13" s="150"/>
      <c r="G13" s="144"/>
      <c r="H13" s="154"/>
      <c r="I13" s="147"/>
      <c r="J13" s="147"/>
      <c r="K13" s="147"/>
      <c r="L13" s="144"/>
      <c r="M13" s="147"/>
      <c r="N13" s="144"/>
      <c r="O13" s="144"/>
    </row>
    <row r="14" spans="1:15" x14ac:dyDescent="0.15">
      <c r="A14" s="156"/>
      <c r="B14" s="142"/>
      <c r="C14" s="157"/>
      <c r="D14" s="147"/>
      <c r="E14" s="22">
        <f>IF(AND(A44=4,D10&gt;10000000,D10&lt;=20000000),IF(試算シート!D25&lt;=10000000,IF(試算シート!D25&lt;=7700000,IF(試算シート!D25&lt;=4100000,IF(試算シート!D25&lt;=3300000,IF(試算シート!D25&lt;=1000000,0,ROUNDDOWN(試算シート!D25-1000000,0)),ROUNDDOWN(試算シート!D25*0.75-175000,0)),ROUNDDOWN(試算シート!D25*0.85-585000,0)),ROUNDDOWN(試算シート!D25*0.95-1355000,0)),ROUNDDOWN(試算シート!D25-1855000,0)),0)</f>
        <v>0</v>
      </c>
      <c r="F14" s="150"/>
      <c r="G14" s="144"/>
      <c r="H14" s="154"/>
      <c r="I14" s="147"/>
      <c r="J14" s="147"/>
      <c r="K14" s="147"/>
      <c r="L14" s="144"/>
      <c r="M14" s="147"/>
      <c r="N14" s="144"/>
      <c r="O14" s="144"/>
    </row>
    <row r="15" spans="1:15" x14ac:dyDescent="0.15">
      <c r="A15" s="156"/>
      <c r="B15" s="142"/>
      <c r="C15" s="157"/>
      <c r="D15" s="148"/>
      <c r="E15" s="22">
        <f>IF(AND(A44=4,D10&gt;20000000),IF(試算シート!D25&lt;10000000,IF(試算シート!D25&lt;=7700000,IF(試算シート!D25&lt;=4100000,IF(試算シート!D25&lt;=3300000,IF(試算シート!D25&lt;=900000,0,ROUNDDOWN(試算シート!D25-900000,0)),ROUNDDOWN(試算シート!D25*0.75-75000,0)),ROUNDDOWN(試算シート!D25*0.85-485000,0)),ROUNDDOWN(試算シート!D25*0.95-1255000,0)),ROUNDDOWN(試算シート!D25-1755000,0)),0)</f>
        <v>0</v>
      </c>
      <c r="F15" s="151"/>
      <c r="G15" s="145"/>
      <c r="H15" s="155"/>
      <c r="I15" s="148"/>
      <c r="J15" s="148"/>
      <c r="K15" s="148"/>
      <c r="L15" s="145"/>
      <c r="M15" s="148"/>
      <c r="N15" s="145"/>
      <c r="O15" s="145"/>
    </row>
    <row r="16" spans="1:15" x14ac:dyDescent="0.15">
      <c r="A16" s="142">
        <f>IF(試算シート!C26&lt;1628000,IF(試算シート!C26&lt;1624000,IF(試算シート!C26&lt;1622000,IF(試算シート!C26&lt;1620000,IF(試算シート!C26&lt;1619000,IF(試算シート!C26&lt;551000,0,試算シート!C26-550000),1069000),1070000),1072000),1074000),0)</f>
        <v>0</v>
      </c>
      <c r="B16" s="142">
        <f>IF(AND(A16+F16&gt;100000,A16&gt;0),IF(A16&gt;100000,100000,A16)+IF(F16&gt;100000,100000,F16)-100000,0)</f>
        <v>0</v>
      </c>
      <c r="C16" s="157">
        <f>試算シート!E26</f>
        <v>0</v>
      </c>
      <c r="D16" s="146">
        <f>A16+A19+C16</f>
        <v>0</v>
      </c>
      <c r="E16" s="22">
        <f>IF(AND(A45&lt;=3,D16&lt;=10000000),IF(試算シート!D26&lt;=10000000,IF(試算シート!D26&lt;=7700000,IF(試算シート!D26&lt;=4100000,IF(試算シート!D26&lt;=1300000,IF(試算シート!D26&lt;=600000,0,ROUNDDOWN(試算シート!D26-600000,0)),ROUNDDOWN(試算シート!D26*0.75-275000,0)),ROUNDDOWN(試算シート!D26*0.85-685000,0)),ROUNDDOWN(試算シート!D26*0.95-1455000,0)),ROUNDDOWN(試算シート!D26-1955000,0)),0)</f>
        <v>0</v>
      </c>
      <c r="F16" s="149">
        <f>SUM(E16:E21)</f>
        <v>0</v>
      </c>
      <c r="G16" s="143">
        <f>IF(A45=4,F16-150000,F16)</f>
        <v>0</v>
      </c>
      <c r="H16" s="143">
        <f>IF(G16&lt;0,0,G16)</f>
        <v>0</v>
      </c>
      <c r="I16" s="146">
        <f>(SUM(A16:A21)-SUM(B16:B21)+F16+C16)</f>
        <v>0</v>
      </c>
      <c r="J16" s="146">
        <f t="shared" ref="J16" si="0">IF((SUM(A16:A21)-SUM(B16:B21)+H16+C16)&lt;=0,0,(SUM(A16:A21)-SUM(B16:B21)+H16+C16))</f>
        <v>0</v>
      </c>
      <c r="K16" s="146">
        <f t="shared" ref="K16" si="1">IF(I16&lt;=24000000,430000,IF(AND(I16&gt;24000000,I16&lt;=24500000),290000,IF(AND(I16&gt;24500000,I16&lt;=25000000),150000,0)))</f>
        <v>430000</v>
      </c>
      <c r="L16" s="143">
        <f>IF(A45=1,0,IF(I16-K16&lt;0,0,I16-K16))</f>
        <v>0</v>
      </c>
      <c r="M16" s="146">
        <f>IF(A45=1,0,試算シート!F26)</f>
        <v>0</v>
      </c>
      <c r="N16" s="159">
        <f>IF(E69=0,0,L16)</f>
        <v>0</v>
      </c>
      <c r="O16" s="143">
        <f>IF(E69=0,0,M16)</f>
        <v>0</v>
      </c>
    </row>
    <row r="17" spans="1:15" x14ac:dyDescent="0.15">
      <c r="A17" s="142"/>
      <c r="B17" s="142"/>
      <c r="C17" s="157"/>
      <c r="D17" s="147"/>
      <c r="E17" s="22">
        <f>IF(AND(A45&lt;=3,D16&gt;10000000,D16&lt;=20000000),IF(試算シート!D26&lt;=10000000,IF(試算シート!D26&lt;=7700000,IF(試算シート!D26&lt;=4100000,IF(試算シート!D26&lt;=1300000,IF(試算シート!D26&lt;=500000,0,ROUNDDOWN(試算シート!D26-500000,0)),ROUNDDOWN(試算シート!D26*0.75-175000,0)),ROUNDDOWN(試算シート!D26*0.85-585000,0)),ROUNDDOWN(試算シート!D26*0.95-1355000,0)),ROUNDDOWN(試算シート!D26-1855000,0)),0)</f>
        <v>0</v>
      </c>
      <c r="F17" s="150"/>
      <c r="G17" s="144"/>
      <c r="H17" s="144"/>
      <c r="I17" s="147"/>
      <c r="J17" s="147"/>
      <c r="K17" s="147"/>
      <c r="L17" s="144"/>
      <c r="M17" s="147"/>
      <c r="N17" s="160"/>
      <c r="O17" s="144"/>
    </row>
    <row r="18" spans="1:15" x14ac:dyDescent="0.15">
      <c r="A18" s="142"/>
      <c r="B18" s="142"/>
      <c r="C18" s="157"/>
      <c r="D18" s="147"/>
      <c r="E18" s="22">
        <f>IF(AND(A45&lt;=3,D16&gt;20000000),IF(試算シート!D26&lt;10000000,IF(試算シート!D26&lt;=7700000,IF(試算シート!D26&lt;=4100000,IF(試算シート!D26&lt;=1300000,IF(試算シート!D26&lt;=400000,0,ROUNDDOWN(試算シート!D26-400000,0)),ROUNDDOWN(試算シート!D26*0.75-75000,0)),ROUNDDOWN(試算シート!D26*0.85-485000,0)),ROUNDDOWN(試算シート!D26*0.95-1255000,0)),ROUNDDOWN(試算シート!D26-1755000,0)),0)</f>
        <v>0</v>
      </c>
      <c r="F18" s="150"/>
      <c r="G18" s="144"/>
      <c r="H18" s="144"/>
      <c r="I18" s="147"/>
      <c r="J18" s="147"/>
      <c r="K18" s="147"/>
      <c r="L18" s="144"/>
      <c r="M18" s="147"/>
      <c r="N18" s="160"/>
      <c r="O18" s="144"/>
    </row>
    <row r="19" spans="1:15" x14ac:dyDescent="0.15">
      <c r="A19" s="158">
        <f>IF(試算シート!C26&lt;8500000,IF(試算シート!C26&lt;6600000,IF(試算シート!C26&lt;3600000,IF(試算シート!C26&lt;1800000,IF(試算シート!C26&lt;1628000,0,ROUNDDOWN(試算シート!C26/4,-3)*4*0.6+100000),ROUNDDOWN(試算シート!C26/4,-3)*4*0.7-80000),ROUNDDOWN(試算シート!C26/4,-3)*4*0.8-440000),ROUNDDOWN(試算シート!C26*0.9-1100000,0)),ROUNDDOWN(試算シート!C26-1950000,0))</f>
        <v>0</v>
      </c>
      <c r="B19" s="142">
        <f>IF(AND(A19+F16&gt;100000,A19&gt;0),IF(A19&gt;100000,100000,A19)+IF(F16&gt;100000,100000,F16)-100000,0)</f>
        <v>0</v>
      </c>
      <c r="C19" s="157"/>
      <c r="D19" s="147"/>
      <c r="E19" s="22">
        <f>IF(AND(A45=4,D16&lt;=10000000),IF(試算シート!D26&lt;=10000000,IF(試算シート!D26&lt;=7700000,IF(試算シート!D26&lt;=4100000,IF(試算シート!D26&lt;=3300000,IF(試算シート!D26&lt;=1100000,0,ROUNDDOWN(試算シート!D26-1100000,0)),ROUNDDOWN(試算シート!D26*0.75-275000,0)),ROUNDDOWN(試算シート!D26*0.85-685000,0)),ROUNDDOWN(試算シート!D26*0.95-1455000,0)),ROUNDDOWN(試算シート!D26-1955000,0)),0)</f>
        <v>0</v>
      </c>
      <c r="F19" s="150"/>
      <c r="G19" s="144"/>
      <c r="H19" s="144"/>
      <c r="I19" s="147"/>
      <c r="J19" s="147"/>
      <c r="K19" s="147"/>
      <c r="L19" s="144"/>
      <c r="M19" s="147"/>
      <c r="N19" s="160"/>
      <c r="O19" s="144"/>
    </row>
    <row r="20" spans="1:15" x14ac:dyDescent="0.15">
      <c r="A20" s="158"/>
      <c r="B20" s="142"/>
      <c r="C20" s="157"/>
      <c r="D20" s="147"/>
      <c r="E20" s="22">
        <f>IF(AND(A45=4,D16&gt;10000000,D16&lt;=20000000),IF(試算シート!D26&lt;=10000000,IF(試算シート!D26&lt;=7700000,IF(試算シート!D26&lt;=4100000,IF(試算シート!D26&lt;=3300000,IF(試算シート!D26&lt;=1000000,0,ROUNDDOWN(試算シート!D26-1000000,0)),ROUNDDOWN(試算シート!D26*0.75-175000,0)),ROUNDDOWN(試算シート!D26*0.85-585000,0)),ROUNDDOWN(試算シート!D26*0.95-1355000,0)),ROUNDDOWN(試算シート!D26-1855000,0)),0)</f>
        <v>0</v>
      </c>
      <c r="F20" s="150"/>
      <c r="G20" s="144"/>
      <c r="H20" s="144"/>
      <c r="I20" s="147"/>
      <c r="J20" s="147"/>
      <c r="K20" s="147"/>
      <c r="L20" s="144"/>
      <c r="M20" s="147"/>
      <c r="N20" s="160"/>
      <c r="O20" s="144"/>
    </row>
    <row r="21" spans="1:15" x14ac:dyDescent="0.15">
      <c r="A21" s="158"/>
      <c r="B21" s="142"/>
      <c r="C21" s="157"/>
      <c r="D21" s="148"/>
      <c r="E21" s="22">
        <f>IF(AND(A45=4,D16&gt;20000000),IF(試算シート!D26&lt;10000000,IF(試算シート!D26&lt;=7700000,IF(試算シート!D26&lt;=4100000,IF(試算シート!D26&lt;=3300000,IF(試算シート!D26&lt;=900000,0,ROUNDDOWN(試算シート!D26-900000,0)),ROUNDDOWN(試算シート!D26*0.75-75000,0)),ROUNDDOWN(試算シート!D26*0.85-485000,0)),ROUNDDOWN(試算シート!D26*0.95-1255000,0)),ROUNDDOWN(試算シート!D26-1755000,0)),0)</f>
        <v>0</v>
      </c>
      <c r="F21" s="151"/>
      <c r="G21" s="145"/>
      <c r="H21" s="145"/>
      <c r="I21" s="148"/>
      <c r="J21" s="148"/>
      <c r="K21" s="148"/>
      <c r="L21" s="145"/>
      <c r="M21" s="148"/>
      <c r="N21" s="161"/>
      <c r="O21" s="145"/>
    </row>
    <row r="22" spans="1:15" x14ac:dyDescent="0.15">
      <c r="A22" s="142">
        <f>IF(試算シート!C27&lt;1628000,IF(試算シート!C27&lt;1624000,IF(試算シート!C27&lt;1622000,IF(試算シート!C27&lt;1620000,IF(試算シート!C27&lt;1619000,IF(試算シート!C27&lt;551000,0,試算シート!C27-550000),1069000),1070000),1072000),1074000),0)</f>
        <v>0</v>
      </c>
      <c r="B22" s="142">
        <f>IF(AND(A22+F22&gt;100000,A22&gt;0),IF(A22&gt;100000,100000,A22)+IF(F22&gt;100000,100000,F22)-100000,0)</f>
        <v>0</v>
      </c>
      <c r="C22" s="157">
        <f>試算シート!E27</f>
        <v>0</v>
      </c>
      <c r="D22" s="146">
        <f>A22+A25+C22</f>
        <v>0</v>
      </c>
      <c r="E22" s="22">
        <f>IF(AND(A46&lt;=3,D22&lt;=10000000),IF(試算シート!D27&lt;=10000000,IF(試算シート!D27&lt;=7700000,IF(試算シート!D27&lt;=4100000,IF(試算シート!D27&lt;=1300000,IF(試算シート!D27&lt;=600000,0,ROUNDDOWN(試算シート!D27-600000,0)),ROUNDDOWN(試算シート!D27*0.75-275000,0)),ROUNDDOWN(試算シート!D27*0.85-685000,0)),ROUNDDOWN(試算シート!D27*0.95-1455000,0)),ROUNDDOWN(試算シート!D27-1955000,0)),0)</f>
        <v>0</v>
      </c>
      <c r="F22" s="149">
        <f>SUM(E22:E27)</f>
        <v>0</v>
      </c>
      <c r="G22" s="143">
        <f>IF(A46=4,F22-150000,F22)</f>
        <v>0</v>
      </c>
      <c r="H22" s="149">
        <f>IF(G22&lt;0,0,G22)</f>
        <v>0</v>
      </c>
      <c r="I22" s="146">
        <f t="shared" ref="I22" si="2">(SUM(A22:A27)-SUM(B22:B27)+F22+C22)</f>
        <v>0</v>
      </c>
      <c r="J22" s="146">
        <f t="shared" ref="J22" si="3">IF((SUM(A22:A27)-SUM(B22:B27)+H22+C22)&lt;=0,0,(SUM(A22:A27)-SUM(B22:B27)+H22+C22))</f>
        <v>0</v>
      </c>
      <c r="K22" s="146">
        <f t="shared" ref="K22" si="4">IF(I22&lt;=24000000,430000,IF(AND(I22&gt;24000000,I22&lt;=24500000),290000,IF(AND(I22&gt;24500000,I22&lt;=25000000),150000,0)))</f>
        <v>430000</v>
      </c>
      <c r="L22" s="143">
        <f>IF(A46=1,0,IF(I22-K22&lt;0,0,I22-K22))</f>
        <v>0</v>
      </c>
      <c r="M22" s="146">
        <f>IF(A46=1,0,試算シート!F27)</f>
        <v>0</v>
      </c>
      <c r="N22" s="143">
        <f>IF(E70=0,0,L22)</f>
        <v>0</v>
      </c>
      <c r="O22" s="143">
        <f>IF(E70=0,0,M22)</f>
        <v>0</v>
      </c>
    </row>
    <row r="23" spans="1:15" x14ac:dyDescent="0.15">
      <c r="A23" s="142"/>
      <c r="B23" s="142"/>
      <c r="C23" s="157"/>
      <c r="D23" s="147"/>
      <c r="E23" s="22">
        <f>IF(AND(A46&lt;=3,D22&gt;10000000,D22&lt;=20000000),IF(試算シート!D27&lt;=10000000,IF(試算シート!D27&lt;=7700000,IF(試算シート!D27&lt;=4100000,IF(試算シート!D27&lt;=1300000,IF(試算シート!D27&lt;=500000,0,ROUNDDOWN(試算シート!D27-500000,0)),ROUNDDOWN(試算シート!D27*0.75-175000,0)),ROUNDDOWN(試算シート!D27*0.85-585000,0)),ROUNDDOWN(試算シート!D27*0.95-1355000,0)),ROUNDDOWN(試算シート!D27-1855000,0)),0)</f>
        <v>0</v>
      </c>
      <c r="F23" s="150"/>
      <c r="G23" s="144"/>
      <c r="H23" s="150"/>
      <c r="I23" s="147"/>
      <c r="J23" s="147"/>
      <c r="K23" s="147"/>
      <c r="L23" s="144"/>
      <c r="M23" s="147"/>
      <c r="N23" s="144"/>
      <c r="O23" s="144"/>
    </row>
    <row r="24" spans="1:15" x14ac:dyDescent="0.15">
      <c r="A24" s="142"/>
      <c r="B24" s="142"/>
      <c r="C24" s="157"/>
      <c r="D24" s="147"/>
      <c r="E24" s="22">
        <f>IF(AND(A46&lt;=3,D22&gt;20000000),IF(試算シート!D27&lt;10000000,IF(試算シート!D27&lt;=7700000,IF(試算シート!D27&lt;=4100000,IF(試算シート!D27&lt;=1300000,IF(試算シート!D27&lt;=400000,0,ROUNDDOWN(試算シート!D27-400000,0)),ROUNDDOWN(試算シート!D27*0.75-75000,0)),ROUNDDOWN(試算シート!D27*0.85-485000,0)),ROUNDDOWN(試算シート!D27*0.95-1255000,0)),ROUNDDOWN(試算シート!D27-1755000,0)),0)</f>
        <v>0</v>
      </c>
      <c r="F24" s="150"/>
      <c r="G24" s="144"/>
      <c r="H24" s="150"/>
      <c r="I24" s="147"/>
      <c r="J24" s="147"/>
      <c r="K24" s="147"/>
      <c r="L24" s="144"/>
      <c r="M24" s="147"/>
      <c r="N24" s="144"/>
      <c r="O24" s="144"/>
    </row>
    <row r="25" spans="1:15" x14ac:dyDescent="0.15">
      <c r="A25" s="156">
        <f>IF(試算シート!C27&lt;8500000,IF(試算シート!C27&lt;6600000,IF(試算シート!C27&lt;3600000,IF(試算シート!C27&lt;1800000,IF(試算シート!C27&lt;1628000,0,ROUNDDOWN(試算シート!C27/4,-3)*4*0.6+100000),ROUNDDOWN(試算シート!C27/4,-3)*4*0.7-80000),ROUNDDOWN(試算シート!C27/4,-3)*4*0.8-440000),ROUNDDOWN(試算シート!C27*0.9-1100000,0)),ROUNDDOWN(試算シート!C27-1950000,0))</f>
        <v>0</v>
      </c>
      <c r="B25" s="142">
        <f>IF(AND(A25+F22&gt;100000,A25&gt;0),IF(A25&gt;100000,100000,A25)+IF(F22&gt;100000,100000,F22)-100000,0)</f>
        <v>0</v>
      </c>
      <c r="C25" s="157"/>
      <c r="D25" s="147"/>
      <c r="E25" s="22">
        <f>IF(AND(A46=4,D22&lt;=10000000),IF(試算シート!D27&lt;=10000000,IF(試算シート!D27&lt;=7700000,IF(試算シート!D27&lt;=4100000,IF(試算シート!D27&lt;=3300000,IF(試算シート!D27&lt;=1100000,0,ROUNDDOWN(試算シート!D27-1100000,0)),ROUNDDOWN(試算シート!D27*0.75-275000,0)),ROUNDDOWN(試算シート!D27*0.85-685000,0)),ROUNDDOWN(試算シート!D27*0.95-1455000,0)),ROUNDDOWN(試算シート!D27-1955000,0)),0)</f>
        <v>0</v>
      </c>
      <c r="F25" s="150"/>
      <c r="G25" s="144"/>
      <c r="H25" s="150"/>
      <c r="I25" s="147"/>
      <c r="J25" s="147"/>
      <c r="K25" s="147"/>
      <c r="L25" s="144"/>
      <c r="M25" s="147"/>
      <c r="N25" s="144"/>
      <c r="O25" s="144"/>
    </row>
    <row r="26" spans="1:15" x14ac:dyDescent="0.15">
      <c r="A26" s="156"/>
      <c r="B26" s="142"/>
      <c r="C26" s="157"/>
      <c r="D26" s="147"/>
      <c r="E26" s="22">
        <f>IF(AND(A46=4,D22&gt;10000000,D22&lt;=20000000),IF(試算シート!D27&lt;=10000000,IF(試算シート!D27&lt;=7700000,IF(試算シート!D27&lt;=4100000,IF(試算シート!D27&lt;=3300000,IF(試算シート!D27&lt;=1000000,0,ROUNDDOWN(試算シート!D27-1000000,0)),ROUNDDOWN(試算シート!D27*0.75-175000,0)),ROUNDDOWN(試算シート!D27*0.85-585000,0)),ROUNDDOWN(試算シート!D27*0.95-1355000,0)),ROUNDDOWN(試算シート!D27-1855000,0)),0)</f>
        <v>0</v>
      </c>
      <c r="F26" s="150"/>
      <c r="G26" s="144"/>
      <c r="H26" s="150"/>
      <c r="I26" s="147"/>
      <c r="J26" s="147"/>
      <c r="K26" s="147"/>
      <c r="L26" s="144"/>
      <c r="M26" s="147"/>
      <c r="N26" s="144"/>
      <c r="O26" s="144"/>
    </row>
    <row r="27" spans="1:15" x14ac:dyDescent="0.15">
      <c r="A27" s="156"/>
      <c r="B27" s="142"/>
      <c r="C27" s="157"/>
      <c r="D27" s="148"/>
      <c r="E27" s="22">
        <f>IF(AND(A46=4,D22&gt;20000000),IF(試算シート!D27&lt;10000000,IF(試算シート!D27&lt;=7700000,IF(試算シート!D27&lt;=4100000,IF(試算シート!D27&lt;=3300000,IF(試算シート!D27&lt;=900000,0,ROUNDDOWN(試算シート!D27-900000,0)),ROUNDDOWN(試算シート!D27*0.75-75000,0)),ROUNDDOWN(試算シート!D27*0.85-485000,0)),ROUNDDOWN(試算シート!D27*0.95-1255000,0)),ROUNDDOWN(試算シート!D27-1755000,0)),0)</f>
        <v>0</v>
      </c>
      <c r="F27" s="151"/>
      <c r="G27" s="145"/>
      <c r="H27" s="151"/>
      <c r="I27" s="148"/>
      <c r="J27" s="148"/>
      <c r="K27" s="148"/>
      <c r="L27" s="145"/>
      <c r="M27" s="148"/>
      <c r="N27" s="145"/>
      <c r="O27" s="145"/>
    </row>
    <row r="28" spans="1:15" x14ac:dyDescent="0.15">
      <c r="A28" s="142">
        <f>IF(試算シート!C28&lt;1628000,IF(試算シート!C28&lt;1624000,IF(試算シート!C28&lt;1622000,IF(試算シート!C28&lt;1620000,IF(試算シート!C28&lt;1619000,IF(試算シート!C28&lt;551000,0,試算シート!C28-550000),1069000),1070000),1072000),1074000),0)</f>
        <v>0</v>
      </c>
      <c r="B28" s="142">
        <f>IF(AND(A28+F28&gt;100000,A28&gt;0),IF(A28&gt;100000,100000,A28)+IF(F28&gt;100000,100000,F28)-100000,0)</f>
        <v>0</v>
      </c>
      <c r="C28" s="157">
        <f>試算シート!E28</f>
        <v>0</v>
      </c>
      <c r="D28" s="146">
        <f>A28+A31+C28</f>
        <v>0</v>
      </c>
      <c r="E28" s="22">
        <f>IF(AND(A47&lt;=3,D28&lt;=10000000),IF(試算シート!D28&lt;=10000000,IF(試算シート!D28&lt;=7700000,IF(試算シート!D28&lt;=4100000,IF(試算シート!D28&lt;=1300000,IF(試算シート!D28&lt;=600000,0,ROUNDDOWN(試算シート!D28-600000,0)),ROUNDDOWN(試算シート!D28*0.75-275000,0)),ROUNDDOWN(試算シート!D28*0.85-685000,0)),ROUNDDOWN(試算シート!D28*0.95-1455000,0)),ROUNDDOWN(試算シート!D28-1955000,0)),0)</f>
        <v>0</v>
      </c>
      <c r="F28" s="149">
        <f>SUM(E28:E33)</f>
        <v>0</v>
      </c>
      <c r="G28" s="143">
        <f>IF(A47=4,F28-150000,F28)</f>
        <v>0</v>
      </c>
      <c r="H28" s="149">
        <f>IF(G28&lt;0,0,G28)</f>
        <v>0</v>
      </c>
      <c r="I28" s="146">
        <f t="shared" ref="I28" si="5">(SUM(A28:A33)-SUM(B28:B33)+F28+C28)</f>
        <v>0</v>
      </c>
      <c r="J28" s="146">
        <f t="shared" ref="J28" si="6">IF((SUM(A28:A33)-SUM(B28:B33)+H28+C28)&lt;=0,0,(SUM(A28:A33)-SUM(B28:B33)+H28+C28))</f>
        <v>0</v>
      </c>
      <c r="K28" s="146">
        <f t="shared" ref="K28" si="7">IF(I28&lt;=24000000,430000,IF(AND(I28&gt;24000000,I28&lt;=24500000),290000,IF(AND(I28&gt;24500000,I28&lt;=25000000),150000,0)))</f>
        <v>430000</v>
      </c>
      <c r="L28" s="143">
        <f>IF(A47=1,0,IF(I28-K28&lt;0,0,I28-K28))</f>
        <v>0</v>
      </c>
      <c r="M28" s="146">
        <f>IF(A47=1,0,試算シート!F28)</f>
        <v>0</v>
      </c>
      <c r="N28" s="143">
        <f>IF(E71=0,0,L28)</f>
        <v>0</v>
      </c>
      <c r="O28" s="143">
        <f>IF(E71=0,0,M28)</f>
        <v>0</v>
      </c>
    </row>
    <row r="29" spans="1:15" x14ac:dyDescent="0.15">
      <c r="A29" s="142"/>
      <c r="B29" s="142"/>
      <c r="C29" s="157"/>
      <c r="D29" s="147"/>
      <c r="E29" s="22">
        <f>IF(AND(A47&lt;=3,D28&gt;10000000,D28&lt;=20000000),IF(試算シート!D28&lt;=10000000,IF(試算シート!D28&lt;=7700000,IF(試算シート!D28&lt;=4100000,IF(試算シート!D28&lt;=1300000,IF(試算シート!D28&lt;=500000,0,ROUNDDOWN(試算シート!D28-500000,0)),ROUNDDOWN(試算シート!D28*0.75-175000,0)),ROUNDDOWN(試算シート!D28*0.85-585000,0)),ROUNDDOWN(試算シート!D28*0.95-1355000,0)),ROUNDDOWN(試算シート!D28-1855000,0)),0)</f>
        <v>0</v>
      </c>
      <c r="F29" s="150"/>
      <c r="G29" s="144"/>
      <c r="H29" s="150"/>
      <c r="I29" s="147"/>
      <c r="J29" s="147"/>
      <c r="K29" s="147"/>
      <c r="L29" s="144"/>
      <c r="M29" s="147"/>
      <c r="N29" s="144"/>
      <c r="O29" s="144"/>
    </row>
    <row r="30" spans="1:15" x14ac:dyDescent="0.15">
      <c r="A30" s="142"/>
      <c r="B30" s="142"/>
      <c r="C30" s="157"/>
      <c r="D30" s="147"/>
      <c r="E30" s="22">
        <f>IF(AND(A47&lt;=3,D28&gt;20000000),IF(試算シート!D28&lt;10000000,IF(試算シート!D28&lt;=7700000,IF(試算シート!D28&lt;=4100000,IF(試算シート!D28&lt;=1300000,IF(試算シート!D28&lt;=400000,0,ROUNDDOWN(試算シート!D28-400000,0)),ROUNDDOWN(試算シート!D28*0.75-75000,0)),ROUNDDOWN(試算シート!D28*0.85-485000,0)),ROUNDDOWN(試算シート!D28*0.95-1255000,0)),ROUNDDOWN(試算シート!D28-1755000,0)),0)</f>
        <v>0</v>
      </c>
      <c r="F30" s="150"/>
      <c r="G30" s="144"/>
      <c r="H30" s="150"/>
      <c r="I30" s="147"/>
      <c r="J30" s="147"/>
      <c r="K30" s="147"/>
      <c r="L30" s="144"/>
      <c r="M30" s="147"/>
      <c r="N30" s="144"/>
      <c r="O30" s="144"/>
    </row>
    <row r="31" spans="1:15" x14ac:dyDescent="0.15">
      <c r="A31" s="156">
        <f>IF(試算シート!C28&lt;8500000,IF(試算シート!C28&lt;6600000,IF(試算シート!C28&lt;3600000,IF(試算シート!C28&lt;1800000,IF(試算シート!C28&lt;1628000,0,ROUNDDOWN(試算シート!C28/4,-3)*4*0.6+100000),ROUNDDOWN(試算シート!C28/4,-3)*4*0.7-80000),ROUNDDOWN(試算シート!C28/4,-3)*4*0.8-440000),ROUNDDOWN(試算シート!C28*0.9-1100000,0)),ROUNDDOWN(試算シート!C28-1950000,0))</f>
        <v>0</v>
      </c>
      <c r="B31" s="142">
        <f>IF(AND(A31+F28&gt;100000,A31&gt;0),IF(A31&gt;100000,100000,A31)+IF(F28&gt;100000,100000,F28)-100000,0)</f>
        <v>0</v>
      </c>
      <c r="C31" s="157"/>
      <c r="D31" s="147"/>
      <c r="E31" s="22">
        <f>IF(AND(A47=4,D28&lt;=10000000),IF(試算シート!D28&lt;=10000000,IF(試算シート!D28&lt;=7700000,IF(試算シート!D28&lt;=4100000,IF(試算シート!D28&lt;=3300000,IF(試算シート!D28&lt;=1100000,0,ROUNDDOWN(試算シート!D28-1100000,0)),ROUNDDOWN(試算シート!D28*0.75-275000,0)),ROUNDDOWN(試算シート!D28*0.85-685000,0)),ROUNDDOWN(試算シート!D28*0.95-1455000,0)),ROUNDDOWN(試算シート!D28-1955000,0)),0)</f>
        <v>0</v>
      </c>
      <c r="F31" s="150"/>
      <c r="G31" s="144"/>
      <c r="H31" s="150"/>
      <c r="I31" s="147"/>
      <c r="J31" s="147"/>
      <c r="K31" s="147"/>
      <c r="L31" s="144"/>
      <c r="M31" s="147"/>
      <c r="N31" s="144"/>
      <c r="O31" s="144"/>
    </row>
    <row r="32" spans="1:15" x14ac:dyDescent="0.15">
      <c r="A32" s="156"/>
      <c r="B32" s="142"/>
      <c r="C32" s="157"/>
      <c r="D32" s="147"/>
      <c r="E32" s="22">
        <f>IF(AND(A47=4,D28&gt;10000000,D28&lt;=20000000),IF(試算シート!D28&lt;=10000000,IF(試算シート!D28&lt;=7700000,IF(試算シート!D28&lt;=4100000,IF(試算シート!D28&lt;=3300000,IF(試算シート!D28&lt;=1000000,0,ROUNDDOWN(試算シート!D28-1000000,0)),ROUNDDOWN(試算シート!D28*0.75-175000,0)),ROUNDDOWN(試算シート!D28*0.85-585000,0)),ROUNDDOWN(試算シート!D28*0.95-1355000,0)),ROUNDDOWN(試算シート!D28-1855000,0)),0)</f>
        <v>0</v>
      </c>
      <c r="F32" s="150"/>
      <c r="G32" s="144"/>
      <c r="H32" s="150"/>
      <c r="I32" s="147"/>
      <c r="J32" s="147"/>
      <c r="K32" s="147"/>
      <c r="L32" s="144"/>
      <c r="M32" s="147"/>
      <c r="N32" s="144"/>
      <c r="O32" s="144"/>
    </row>
    <row r="33" spans="1:15" x14ac:dyDescent="0.15">
      <c r="A33" s="156"/>
      <c r="B33" s="142"/>
      <c r="C33" s="157"/>
      <c r="D33" s="148"/>
      <c r="E33" s="22">
        <f>IF(AND(A47=4,D28&gt;20000000),IF(試算シート!D28&lt;10000000,IF(試算シート!D28&lt;=7700000,IF(試算シート!D28&lt;=4100000,IF(試算シート!D28&lt;=3300000,IF(試算シート!D28&lt;=900000,0,ROUNDDOWN(試算シート!D28-900000,0)),ROUNDDOWN(試算シート!D28*0.75-75000,0)),ROUNDDOWN(試算シート!D28*0.85-485000,0)),ROUNDDOWN(試算シート!D28*0.95-1255000,0)),ROUNDDOWN(試算シート!D28-1755000,0)),0)</f>
        <v>0</v>
      </c>
      <c r="F33" s="151"/>
      <c r="G33" s="145"/>
      <c r="H33" s="151"/>
      <c r="I33" s="148"/>
      <c r="J33" s="148"/>
      <c r="K33" s="148"/>
      <c r="L33" s="145"/>
      <c r="M33" s="148"/>
      <c r="N33" s="145"/>
      <c r="O33" s="145"/>
    </row>
    <row r="34" spans="1:15" x14ac:dyDescent="0.15">
      <c r="A34" s="142">
        <f>IF(試算シート!C29&lt;1628000,IF(試算シート!C29&lt;1624000,IF(試算シート!C29&lt;1622000,IF(試算シート!C29&lt;1620000,IF(試算シート!C29&lt;1619000,IF(試算シート!C29&lt;551000,0,試算シート!C29-550000),1069000),1070000),1072000),1074000),0)</f>
        <v>0</v>
      </c>
      <c r="B34" s="142">
        <f>IF(AND(A34+F34&gt;100000,A34&gt;0),IF(A34&gt;100000,100000,A34)+IF(F34&gt;100000,100000,F34)-100000,0)</f>
        <v>0</v>
      </c>
      <c r="C34" s="157">
        <f>試算シート!E29</f>
        <v>0</v>
      </c>
      <c r="D34" s="146">
        <f>A34+A37+C34</f>
        <v>0</v>
      </c>
      <c r="E34" s="22">
        <f>IF(AND(A48&lt;=3,D34&lt;=10000000),IF(試算シート!D29&lt;=10000000,IF(試算シート!D29&lt;=7700000,IF(試算シート!D29&lt;=4100000,IF(試算シート!D29&lt;=1300000,IF(試算シート!D29&lt;=600000,0,ROUNDDOWN(試算シート!D29-600000,0)),ROUNDDOWN(試算シート!D29*0.75-275000,0)),ROUNDDOWN(試算シート!D29*0.85-685000,0)),ROUNDDOWN(試算シート!D29*0.95-1455000,0)),ROUNDDOWN(試算シート!D29-1955000,0)),0)</f>
        <v>0</v>
      </c>
      <c r="F34" s="149">
        <f>SUM(E34:E39)</f>
        <v>0</v>
      </c>
      <c r="G34" s="143">
        <f>IF(A48=4,F34-150000,F34)</f>
        <v>0</v>
      </c>
      <c r="H34" s="149">
        <f>IF(G34&lt;0,0,G34)</f>
        <v>0</v>
      </c>
      <c r="I34" s="146">
        <f t="shared" ref="I34" si="8">(SUM(A34:A39)-SUM(B34:B39)+F34+C34)</f>
        <v>0</v>
      </c>
      <c r="J34" s="146">
        <f t="shared" ref="J34" si="9">IF((SUM(A34:A39)-SUM(B34:B39)+H34+C34)&lt;=0,0,(SUM(A34:A39)-SUM(B34:B39)+H34+C34))</f>
        <v>0</v>
      </c>
      <c r="K34" s="146">
        <f t="shared" ref="K34" si="10">IF(I34&lt;=24000000,430000,IF(AND(I34&gt;24000000,I34&lt;=24500000),290000,IF(AND(I34&gt;24500000,I34&lt;=25000000),150000,0)))</f>
        <v>430000</v>
      </c>
      <c r="L34" s="143">
        <f>IF(A48=1,0,IF(I34-K34&lt;0,0,I34-K34))</f>
        <v>0</v>
      </c>
      <c r="M34" s="146">
        <f>IF(A48=1,0,試算シート!F29)</f>
        <v>0</v>
      </c>
      <c r="N34" s="143">
        <f>IF(E72=0,0,L34)</f>
        <v>0</v>
      </c>
      <c r="O34" s="143">
        <f>IF(E72=0,0,M34)</f>
        <v>0</v>
      </c>
    </row>
    <row r="35" spans="1:15" x14ac:dyDescent="0.15">
      <c r="A35" s="142"/>
      <c r="B35" s="142"/>
      <c r="C35" s="157"/>
      <c r="D35" s="147"/>
      <c r="E35" s="22">
        <f>IF(AND(A48&lt;=3,D34&gt;10000000,D34&lt;=20000000),IF(試算シート!D29&lt;=10000000,IF(試算シート!D29&lt;=7700000,IF(試算シート!D29&lt;=4100000,IF(試算シート!D29&lt;=1300000,IF(試算シート!D29&lt;=500000,0,ROUNDDOWN(試算シート!D29-500000,0)),ROUNDDOWN(試算シート!D29*0.75-175000,0)),ROUNDDOWN(試算シート!D29*0.85-585000,0)),ROUNDDOWN(試算シート!D29*0.95-1355000,0)),ROUNDDOWN(試算シート!D29-1855000,0)),0)</f>
        <v>0</v>
      </c>
      <c r="F35" s="150"/>
      <c r="G35" s="144"/>
      <c r="H35" s="150"/>
      <c r="I35" s="147"/>
      <c r="J35" s="147"/>
      <c r="K35" s="147"/>
      <c r="L35" s="144"/>
      <c r="M35" s="147"/>
      <c r="N35" s="144"/>
      <c r="O35" s="144"/>
    </row>
    <row r="36" spans="1:15" x14ac:dyDescent="0.15">
      <c r="A36" s="142"/>
      <c r="B36" s="142"/>
      <c r="C36" s="157"/>
      <c r="D36" s="147"/>
      <c r="E36" s="22">
        <f>IF(AND(A48&lt;=3,D34&gt;20000000),IF(試算シート!D29&lt;10000000,IF(試算シート!D29&lt;=7700000,IF(試算シート!D29&lt;=4100000,IF(試算シート!D29&lt;=1300000,IF(試算シート!D29&lt;=400000,0,ROUNDDOWN(試算シート!D29-400000,0)),ROUNDDOWN(試算シート!D29*0.75-75000,0)),ROUNDDOWN(試算シート!D29*0.85-485000,0)),ROUNDDOWN(試算シート!D29*0.95-1255000,0)),ROUNDDOWN(試算シート!D29-1755000,0)),0)</f>
        <v>0</v>
      </c>
      <c r="F36" s="150"/>
      <c r="G36" s="144"/>
      <c r="H36" s="150"/>
      <c r="I36" s="147"/>
      <c r="J36" s="147"/>
      <c r="K36" s="147"/>
      <c r="L36" s="144"/>
      <c r="M36" s="147"/>
      <c r="N36" s="144"/>
      <c r="O36" s="144"/>
    </row>
    <row r="37" spans="1:15" x14ac:dyDescent="0.15">
      <c r="A37" s="156">
        <f>IF(試算シート!C29&lt;8500000,IF(試算シート!C29&lt;6600000,IF(試算シート!C29&lt;3600000,IF(試算シート!C29&lt;1800000,IF(試算シート!C29&lt;1628000,0,ROUNDDOWN(試算シート!C29/4,-3)*4*0.6+100000),ROUNDDOWN(試算シート!C29/4,-3)*4*0.7-80000),ROUNDDOWN(試算シート!C29/4,-3)*4*0.8-440000),ROUNDDOWN(試算シート!C29*0.9-1100000,0)),ROUNDDOWN(試算シート!C29-1950000,0))</f>
        <v>0</v>
      </c>
      <c r="B37" s="142">
        <f>IF(AND(A37+F34&gt;100000,A37&gt;0),IF(A37&gt;100000,100000,A37)+IF(F34&gt;100000,100000,F34)-100000,0)</f>
        <v>0</v>
      </c>
      <c r="C37" s="157"/>
      <c r="D37" s="147"/>
      <c r="E37" s="22">
        <f>IF(AND(A48=4,D34&lt;=10000000),IF(試算シート!D29&lt;=10000000,IF(試算シート!D29&lt;=7700000,IF(試算シート!D29&lt;=4100000,IF(試算シート!D29&lt;=3300000,IF(試算シート!D29&lt;=1100000,0,ROUNDDOWN(試算シート!D29-1100000,0)),ROUNDDOWN(試算シート!D29*0.75-275000,0)),ROUNDDOWN(試算シート!D29*0.85-685000,0)),ROUNDDOWN(試算シート!D29*0.95-1455000,0)),ROUNDDOWN(試算シート!D29-1955000,0)),0)</f>
        <v>0</v>
      </c>
      <c r="F37" s="150"/>
      <c r="G37" s="144"/>
      <c r="H37" s="150"/>
      <c r="I37" s="147"/>
      <c r="J37" s="147"/>
      <c r="K37" s="147"/>
      <c r="L37" s="144"/>
      <c r="M37" s="147"/>
      <c r="N37" s="144"/>
      <c r="O37" s="144"/>
    </row>
    <row r="38" spans="1:15" x14ac:dyDescent="0.15">
      <c r="A38" s="156"/>
      <c r="B38" s="142"/>
      <c r="C38" s="157"/>
      <c r="D38" s="147"/>
      <c r="E38" s="22">
        <f>IF(AND(A48=4,D34&gt;10000000,D34&lt;=20000000),IF(試算シート!D29&lt;=10000000,IF(試算シート!D29&lt;=7700000,IF(試算シート!D29&lt;=4100000,IF(試算シート!D29&lt;=3300000,IF(試算シート!D29&lt;=1000000,0,ROUNDDOWN(試算シート!D29-1000000,0)),ROUNDDOWN(試算シート!D29*0.75-175000,0)),ROUNDDOWN(試算シート!D29*0.85-585000,0)),ROUNDDOWN(試算シート!D29*0.95-1355000,0)),ROUNDDOWN(試算シート!D29-1855000,0)),0)</f>
        <v>0</v>
      </c>
      <c r="F38" s="150"/>
      <c r="G38" s="144"/>
      <c r="H38" s="150"/>
      <c r="I38" s="147"/>
      <c r="J38" s="147"/>
      <c r="K38" s="147"/>
      <c r="L38" s="144"/>
      <c r="M38" s="147"/>
      <c r="N38" s="144"/>
      <c r="O38" s="144"/>
    </row>
    <row r="39" spans="1:15" x14ac:dyDescent="0.15">
      <c r="A39" s="156"/>
      <c r="B39" s="142"/>
      <c r="C39" s="157"/>
      <c r="D39" s="148"/>
      <c r="E39" s="22">
        <f>IF(AND(A48=4,D34&gt;20000000),IF(試算シート!D29&lt;10000000,IF(試算シート!D29&lt;=7700000,IF(試算シート!D29&lt;=4100000,IF(試算シート!D29&lt;=3300000,IF(試算シート!D29&lt;=900000,0,ROUNDDOWN(試算シート!D29-900000,0)),ROUNDDOWN(試算シート!D29*0.75-75000,0)),ROUNDDOWN(試算シート!D29*0.85-485000,0)),ROUNDDOWN(試算シート!D29*0.95-1255000,0)),ROUNDDOWN(試算シート!D29-1755000,0)),0)</f>
        <v>0</v>
      </c>
      <c r="F39" s="151"/>
      <c r="G39" s="145"/>
      <c r="H39" s="151"/>
      <c r="I39" s="148"/>
      <c r="J39" s="148"/>
      <c r="K39" s="148"/>
      <c r="L39" s="145"/>
      <c r="M39" s="148"/>
      <c r="N39" s="145"/>
      <c r="O39" s="145"/>
    </row>
    <row r="40" spans="1:15" x14ac:dyDescent="0.15">
      <c r="A40" s="16"/>
      <c r="B40" s="16"/>
      <c r="C40" s="16"/>
      <c r="D40" s="23"/>
      <c r="E40" s="23"/>
      <c r="F40" s="23"/>
      <c r="G40" s="23"/>
      <c r="H40" s="23"/>
      <c r="I40" s="119">
        <f>SUM(I10:I39)</f>
        <v>0</v>
      </c>
      <c r="J40" s="119">
        <f>SUM(J10:J39)</f>
        <v>0</v>
      </c>
      <c r="K40" s="119"/>
      <c r="L40" s="119">
        <f>SUM(L10:L39)</f>
        <v>0</v>
      </c>
      <c r="M40" s="119">
        <f>SUM(M10:M39)</f>
        <v>0</v>
      </c>
      <c r="N40" s="117">
        <f>SUM(N10:N39)</f>
        <v>0</v>
      </c>
      <c r="O40" s="118"/>
    </row>
    <row r="41" spans="1:15" x14ac:dyDescent="0.15">
      <c r="A41" s="16"/>
      <c r="B41" s="16"/>
      <c r="C41" s="16"/>
      <c r="D41" s="23"/>
      <c r="E41" s="23"/>
      <c r="F41" s="23"/>
      <c r="G41" s="23"/>
      <c r="H41" s="23"/>
      <c r="I41" s="24"/>
      <c r="J41" s="23"/>
      <c r="K41" s="23"/>
      <c r="L41" s="23"/>
      <c r="M41" s="23"/>
      <c r="N41" s="23"/>
      <c r="O41" s="118"/>
    </row>
    <row r="42" spans="1:15" x14ac:dyDescent="0.15">
      <c r="A42" s="16"/>
      <c r="B42" s="16"/>
      <c r="C42" s="16"/>
      <c r="D42" s="23"/>
      <c r="E42" s="23"/>
      <c r="F42" s="23"/>
      <c r="G42" s="23"/>
      <c r="H42" s="23"/>
      <c r="I42" s="24"/>
      <c r="J42" s="23"/>
      <c r="K42" s="23"/>
      <c r="L42" s="23"/>
      <c r="M42" s="23"/>
      <c r="N42" s="23"/>
      <c r="O42" s="118"/>
    </row>
    <row r="43" spans="1:15" x14ac:dyDescent="0.15">
      <c r="A43" s="25" t="s">
        <v>85</v>
      </c>
      <c r="B43" s="2" t="s">
        <v>84</v>
      </c>
      <c r="C43" s="10" t="s">
        <v>86</v>
      </c>
      <c r="E43" s="16"/>
      <c r="F43" s="15"/>
    </row>
    <row r="44" spans="1:15" x14ac:dyDescent="0.15">
      <c r="A44" s="26">
        <v>1</v>
      </c>
      <c r="B44" s="2">
        <f>IF(A44=3,1,0)</f>
        <v>0</v>
      </c>
      <c r="C44" s="26">
        <f>IF(A44&gt;1,1,0)</f>
        <v>0</v>
      </c>
      <c r="E44" s="16"/>
      <c r="F44" s="15"/>
    </row>
    <row r="45" spans="1:15" x14ac:dyDescent="0.15">
      <c r="A45" s="26">
        <v>1</v>
      </c>
      <c r="B45" s="2">
        <f>IF(A45=3,1,0)</f>
        <v>0</v>
      </c>
      <c r="C45" s="26">
        <f t="shared" ref="C45:C48" si="11">IF(A45&gt;1,1,0)</f>
        <v>0</v>
      </c>
      <c r="E45" s="16"/>
      <c r="F45" s="15"/>
    </row>
    <row r="46" spans="1:15" x14ac:dyDescent="0.15">
      <c r="A46" s="26">
        <v>1</v>
      </c>
      <c r="B46" s="2">
        <f>IF(A46=3,1,0)</f>
        <v>0</v>
      </c>
      <c r="C46" s="26">
        <f t="shared" si="11"/>
        <v>0</v>
      </c>
      <c r="E46" s="16"/>
      <c r="F46" s="15"/>
    </row>
    <row r="47" spans="1:15" x14ac:dyDescent="0.15">
      <c r="A47" s="26">
        <v>1</v>
      </c>
      <c r="B47" s="2">
        <f>IF(A47=3,1,0)</f>
        <v>0</v>
      </c>
      <c r="C47" s="26">
        <f t="shared" si="11"/>
        <v>0</v>
      </c>
      <c r="E47" s="16"/>
      <c r="F47" s="15"/>
    </row>
    <row r="48" spans="1:15" x14ac:dyDescent="0.15">
      <c r="A48" s="26">
        <v>1</v>
      </c>
      <c r="B48" s="2">
        <f>IF(A48=3,1,0)</f>
        <v>0</v>
      </c>
      <c r="C48" s="26">
        <f t="shared" si="11"/>
        <v>0</v>
      </c>
      <c r="E48" s="16"/>
      <c r="F48" s="15"/>
    </row>
    <row r="49" spans="1:9" x14ac:dyDescent="0.15">
      <c r="A49" s="27"/>
      <c r="B49" s="28">
        <f>SUM(B44:B48)</f>
        <v>0</v>
      </c>
      <c r="C49" s="29">
        <f>SUM(C44:C48)</f>
        <v>0</v>
      </c>
      <c r="E49" s="16"/>
      <c r="F49" s="15"/>
    </row>
    <row r="50" spans="1:9" x14ac:dyDescent="0.15">
      <c r="A50" s="30"/>
      <c r="B50" s="15"/>
      <c r="C50" s="16"/>
      <c r="D50" s="15"/>
      <c r="E50" s="16"/>
      <c r="F50" s="15"/>
      <c r="G50" s="2" t="s">
        <v>103</v>
      </c>
    </row>
    <row r="51" spans="1:9" x14ac:dyDescent="0.15">
      <c r="A51" s="31" t="s">
        <v>74</v>
      </c>
      <c r="B51" s="31" t="s">
        <v>75</v>
      </c>
      <c r="C51" s="31" t="s">
        <v>76</v>
      </c>
      <c r="D51" s="31" t="s">
        <v>77</v>
      </c>
      <c r="E51" s="32" t="s">
        <v>78</v>
      </c>
      <c r="F51" s="33"/>
      <c r="G51" s="26" t="str">
        <f>IF(C49=0,"",IF(J40&lt;=430000,7,IF(J40&lt;=430000+G6*C49,5,IF(J40&lt;=430000+H6*C49,2,""))))</f>
        <v/>
      </c>
    </row>
    <row r="52" spans="1:9" x14ac:dyDescent="0.15">
      <c r="A52" s="34">
        <f>L10*$B$2</f>
        <v>0</v>
      </c>
      <c r="B52" s="34">
        <f>ROUNDDOWN((M10*$B$3),0)</f>
        <v>0</v>
      </c>
      <c r="C52" s="34">
        <f>$B$4*E52/12</f>
        <v>0</v>
      </c>
      <c r="D52" s="34">
        <f>IF($C$49=0,0,$B$5*$D$1/12*E52/($E$52+$E$53+$E$54+$E$55+$E$56))</f>
        <v>0</v>
      </c>
      <c r="E52" s="35">
        <f>IF($A$44&gt;1,12,0)</f>
        <v>0</v>
      </c>
      <c r="F52" s="36"/>
      <c r="G52" s="2" t="s">
        <v>104</v>
      </c>
    </row>
    <row r="53" spans="1:9" x14ac:dyDescent="0.15">
      <c r="A53" s="34">
        <f>L16*B2</f>
        <v>0</v>
      </c>
      <c r="B53" s="34">
        <f>ROUNDDOWN((M16*$B$3),0)</f>
        <v>0</v>
      </c>
      <c r="C53" s="34">
        <f>$B$4*E53/12</f>
        <v>0</v>
      </c>
      <c r="D53" s="34">
        <f>IF($C$49=0,0,$B$5*$D$1/12*E53/($E$52+$E$53+$E$54+$E$55+$E$56))</f>
        <v>0</v>
      </c>
      <c r="E53" s="35">
        <f>IF($A$45&gt;1,12,0)</f>
        <v>0</v>
      </c>
      <c r="F53" s="36"/>
      <c r="G53" s="22">
        <f>IF(G51="",0,C57*G51/10)</f>
        <v>0</v>
      </c>
    </row>
    <row r="54" spans="1:9" x14ac:dyDescent="0.15">
      <c r="A54" s="34">
        <f>L22*B2</f>
        <v>0</v>
      </c>
      <c r="B54" s="34">
        <f>ROUNDDOWN((M22*$B$3),0)</f>
        <v>0</v>
      </c>
      <c r="C54" s="34">
        <f t="shared" ref="C54:C56" si="12">$B$4*E54/12</f>
        <v>0</v>
      </c>
      <c r="D54" s="34">
        <f>IF($C$49=0,0,$B$5*$D$1/12*E54/($E$52+$E$53+$E$54+$E$55+$E$56))</f>
        <v>0</v>
      </c>
      <c r="E54" s="35">
        <f>IF($A$46&gt;1,12,0)</f>
        <v>0</v>
      </c>
      <c r="F54" s="36"/>
      <c r="G54" s="2" t="s">
        <v>105</v>
      </c>
    </row>
    <row r="55" spans="1:9" x14ac:dyDescent="0.15">
      <c r="A55" s="34">
        <f>L28*B2</f>
        <v>0</v>
      </c>
      <c r="B55" s="34">
        <f>ROUNDDOWN((M28*$B$3),0)</f>
        <v>0</v>
      </c>
      <c r="C55" s="34">
        <f t="shared" si="12"/>
        <v>0</v>
      </c>
      <c r="D55" s="34">
        <f>IF($C$49=0,0,$B$5*$D$1/12*E55/($E$52+$E$53+$E$54+$E$55+$E$56))</f>
        <v>0</v>
      </c>
      <c r="E55" s="35">
        <f>IF($A$47&gt;1,12,0)</f>
        <v>0</v>
      </c>
      <c r="F55" s="36"/>
      <c r="G55" s="22">
        <f>IF(G51="",0,D57*G51/10)</f>
        <v>0</v>
      </c>
    </row>
    <row r="56" spans="1:9" x14ac:dyDescent="0.15">
      <c r="A56" s="34">
        <f>L34*B2</f>
        <v>0</v>
      </c>
      <c r="B56" s="34">
        <f>ROUNDDOWN((M34*$B$3),0)</f>
        <v>0</v>
      </c>
      <c r="C56" s="34">
        <f t="shared" si="12"/>
        <v>0</v>
      </c>
      <c r="D56" s="34">
        <f>IF($C$49=0,0,$B$5*$D$1/12*E56/($E$52+$E$53+$E$54+$E$55+$E$56))</f>
        <v>0</v>
      </c>
      <c r="E56" s="35">
        <f>IF($A$48&gt;1,12,0)</f>
        <v>0</v>
      </c>
      <c r="F56" s="34"/>
    </row>
    <row r="57" spans="1:9" x14ac:dyDescent="0.15">
      <c r="A57" s="34">
        <f>SUM(A52:A56)</f>
        <v>0</v>
      </c>
      <c r="B57" s="34">
        <f t="shared" ref="B57:C57" si="13">SUM(B52:B56)</f>
        <v>0</v>
      </c>
      <c r="C57" s="34">
        <f t="shared" si="13"/>
        <v>0</v>
      </c>
      <c r="D57" s="34">
        <f>SUM(D52:D56)</f>
        <v>0</v>
      </c>
      <c r="E57" s="34">
        <f>IF(D1=12,A57+B57+C57+D57,F52+F53+F54+F55+F56)</f>
        <v>0</v>
      </c>
      <c r="F57" s="34" t="str">
        <f>IF(B6&gt;A57+B57+C57+D57,"OK","NG")</f>
        <v>OK</v>
      </c>
      <c r="G57" s="22">
        <f>IF(E57&gt;B6,B6,E57)</f>
        <v>0</v>
      </c>
      <c r="H57" s="34">
        <f>E57-G57</f>
        <v>0</v>
      </c>
      <c r="I57" s="7" t="s">
        <v>106</v>
      </c>
    </row>
    <row r="59" spans="1:9" x14ac:dyDescent="0.15">
      <c r="A59" s="31" t="s">
        <v>89</v>
      </c>
      <c r="B59" s="31" t="s">
        <v>90</v>
      </c>
      <c r="C59" s="31" t="s">
        <v>91</v>
      </c>
      <c r="D59" s="31" t="s">
        <v>92</v>
      </c>
      <c r="E59" s="32" t="s">
        <v>93</v>
      </c>
      <c r="F59" s="37"/>
    </row>
    <row r="60" spans="1:9" x14ac:dyDescent="0.15">
      <c r="A60" s="34">
        <f>L10*D2</f>
        <v>0</v>
      </c>
      <c r="B60" s="34">
        <f>ROUNDDOWN((D3*$M$10),0)</f>
        <v>0</v>
      </c>
      <c r="C60" s="34">
        <f>$D$4*E60/12</f>
        <v>0</v>
      </c>
      <c r="D60" s="34">
        <f>IF($C$49=0,0,$D$5*$D$1/12*E60/($E$60+$E$61+$E$62+$E$63+$E$64))</f>
        <v>0</v>
      </c>
      <c r="E60" s="35">
        <f>IF($A$44&gt;1,12,0)</f>
        <v>0</v>
      </c>
      <c r="F60" s="34"/>
      <c r="G60" s="38" t="s">
        <v>104</v>
      </c>
    </row>
    <row r="61" spans="1:9" x14ac:dyDescent="0.15">
      <c r="A61" s="34">
        <f>L16*D2</f>
        <v>0</v>
      </c>
      <c r="B61" s="34">
        <f>ROUNDDOWN((D3*M16),0)</f>
        <v>0</v>
      </c>
      <c r="C61" s="34">
        <f>$D$4*E61/12</f>
        <v>0</v>
      </c>
      <c r="D61" s="34">
        <f>IF($C$49=0,0,$D$5*$D$1/12*E61/($E$60+$E$61+$E$62+$E$63+$E$64))</f>
        <v>0</v>
      </c>
      <c r="E61" s="35">
        <f>IF($A$45&gt;1,12,0)</f>
        <v>0</v>
      </c>
      <c r="F61" s="34"/>
      <c r="G61" s="22">
        <f>IF(G51="",0,C65*G51/10)</f>
        <v>0</v>
      </c>
    </row>
    <row r="62" spans="1:9" x14ac:dyDescent="0.15">
      <c r="A62" s="34">
        <f>L22*D2</f>
        <v>0</v>
      </c>
      <c r="B62" s="34">
        <f>ROUNDDOWN((D3*M22),0)</f>
        <v>0</v>
      </c>
      <c r="C62" s="34">
        <f t="shared" ref="C62:C63" si="14">$D$4*E62/12</f>
        <v>0</v>
      </c>
      <c r="D62" s="34">
        <f>IF($C$49=0,0,$D$5*$D$1/12*E62/($E$60+$E$61+$E$62+$E$63+$E$64))</f>
        <v>0</v>
      </c>
      <c r="E62" s="35">
        <f>IF($A$46&gt;1,12,0)</f>
        <v>0</v>
      </c>
      <c r="F62" s="34"/>
      <c r="G62" s="2" t="s">
        <v>105</v>
      </c>
    </row>
    <row r="63" spans="1:9" x14ac:dyDescent="0.15">
      <c r="A63" s="34">
        <f>L28*D2</f>
        <v>0</v>
      </c>
      <c r="B63" s="34">
        <f>ROUNDDOWN((D3*M28),0)</f>
        <v>0</v>
      </c>
      <c r="C63" s="34">
        <f t="shared" si="14"/>
        <v>0</v>
      </c>
      <c r="D63" s="34">
        <f>IF($C$49=0,0,$D$5*$D$1/12*E63/($E$60+$E$61+$E$62+$E$63+$E$64))</f>
        <v>0</v>
      </c>
      <c r="E63" s="35">
        <f>IF($A$47&gt;1,12,0)</f>
        <v>0</v>
      </c>
      <c r="F63" s="34"/>
      <c r="G63" s="22">
        <f>IF(G51="",0,D65*G51/10)</f>
        <v>0</v>
      </c>
    </row>
    <row r="64" spans="1:9" x14ac:dyDescent="0.15">
      <c r="A64" s="34">
        <f>L34*D2</f>
        <v>0</v>
      </c>
      <c r="B64" s="34">
        <f>ROUNDDOWN((D3*M34),0)</f>
        <v>0</v>
      </c>
      <c r="C64" s="34">
        <f>$D$4*E64/12</f>
        <v>0</v>
      </c>
      <c r="D64" s="34">
        <f>IF($C$49=0,0,$D$5*$D$1/12*E64/($E$60+$E$61+$E$62+$E$63+$E$64))</f>
        <v>0</v>
      </c>
      <c r="E64" s="35">
        <f>IF($A$48&gt;1,12,0)</f>
        <v>0</v>
      </c>
      <c r="F64" s="34"/>
      <c r="G64" s="24"/>
    </row>
    <row r="65" spans="1:9" x14ac:dyDescent="0.15">
      <c r="A65" s="34">
        <f>SUM(A60:A64)</f>
        <v>0</v>
      </c>
      <c r="B65" s="34">
        <f>SUM(B60:B64)</f>
        <v>0</v>
      </c>
      <c r="C65" s="34">
        <f t="shared" ref="C65:D65" si="15">SUM(C60:C64)</f>
        <v>0</v>
      </c>
      <c r="D65" s="34">
        <f t="shared" si="15"/>
        <v>0</v>
      </c>
      <c r="E65" s="34">
        <f>IF(D1=12,A65+B65+C65+D65,F60+F61+F62+F63+F64)</f>
        <v>0</v>
      </c>
      <c r="F65" s="34" t="str">
        <f>IF(D6&gt;A65+B65+C65+D65,"OK","NG")</f>
        <v>OK</v>
      </c>
      <c r="G65" s="22">
        <f>IF(E65&gt;D6,D6,E65)</f>
        <v>0</v>
      </c>
      <c r="H65" s="22">
        <f>E65-G65</f>
        <v>0</v>
      </c>
      <c r="I65" s="7" t="s">
        <v>106</v>
      </c>
    </row>
    <row r="67" spans="1:9" x14ac:dyDescent="0.15">
      <c r="A67" s="31" t="s">
        <v>94</v>
      </c>
      <c r="B67" s="31" t="s">
        <v>95</v>
      </c>
      <c r="C67" s="31" t="s">
        <v>96</v>
      </c>
      <c r="D67" s="31" t="s">
        <v>97</v>
      </c>
      <c r="E67" s="32" t="s">
        <v>98</v>
      </c>
      <c r="F67" s="37"/>
    </row>
    <row r="68" spans="1:9" x14ac:dyDescent="0.15">
      <c r="A68" s="34">
        <f>IF(E68=0,0,$F$2*L10)</f>
        <v>0</v>
      </c>
      <c r="B68" s="34">
        <f>IF(E68=0,0,ROUNDDOWN(($F$3*M10),0))</f>
        <v>0</v>
      </c>
      <c r="C68" s="34">
        <f>$F$4*E68/12</f>
        <v>0</v>
      </c>
      <c r="D68" s="34">
        <f>IF(E68+$E$69+$E$70+$E$71+$E$72=0,0,$F$5*$F$1/12*E68/($E$68+$E$69+$E$70+$E$71+$E$72))</f>
        <v>0</v>
      </c>
      <c r="E68" s="35">
        <f>IF($A$44=3,12,0)</f>
        <v>0</v>
      </c>
      <c r="F68" s="34"/>
      <c r="G68" s="2" t="s">
        <v>107</v>
      </c>
    </row>
    <row r="69" spans="1:9" x14ac:dyDescent="0.15">
      <c r="A69" s="34">
        <f>IF(E69=0,0,$F$2*L16)</f>
        <v>0</v>
      </c>
      <c r="B69" s="34">
        <f>IF(E69=0,0,ROUNDDOWN(($F$3*M16),0))</f>
        <v>0</v>
      </c>
      <c r="C69" s="34">
        <f>$F$4*E69/12</f>
        <v>0</v>
      </c>
      <c r="D69" s="34">
        <f>IF(E69+$E$69+$E$70+$E$71+$E$72=0,0,$F$5*$F$1/12*E69/($E$68+$E$69+$E$70+$E$71+$E$72))</f>
        <v>0</v>
      </c>
      <c r="E69" s="35">
        <f>IF($A$45=3,12,0)</f>
        <v>0</v>
      </c>
      <c r="F69" s="34"/>
      <c r="G69" s="22">
        <f>IF(G51="",0,C73*G51/10)</f>
        <v>0</v>
      </c>
    </row>
    <row r="70" spans="1:9" x14ac:dyDescent="0.15">
      <c r="A70" s="34">
        <f>IF(E70=0,0,$F$2*L22)</f>
        <v>0</v>
      </c>
      <c r="B70" s="34">
        <f>IF(E70=0,0,ROUNDDOWN(($F$3*M22),0))</f>
        <v>0</v>
      </c>
      <c r="C70" s="34">
        <f>$F$4*E70/12</f>
        <v>0</v>
      </c>
      <c r="D70" s="34">
        <f>IF(E70+$E$69+$E$70+$E$71+$E$72=0,0,$F$5*$F$1/12*E70/($E$68+$E$69+$E$70+$E$71+$E$72))</f>
        <v>0</v>
      </c>
      <c r="E70" s="35">
        <f>IF($A$46=3,12,0)</f>
        <v>0</v>
      </c>
      <c r="F70" s="34"/>
      <c r="G70" s="2" t="s">
        <v>108</v>
      </c>
    </row>
    <row r="71" spans="1:9" x14ac:dyDescent="0.15">
      <c r="A71" s="34">
        <f>IF(E71=0,0,$F$2*L28)</f>
        <v>0</v>
      </c>
      <c r="B71" s="34">
        <f>IF(E71=0,0,ROUNDDOWN(($F$3*M28),0))</f>
        <v>0</v>
      </c>
      <c r="C71" s="34">
        <f>$F$4*E71/12</f>
        <v>0</v>
      </c>
      <c r="D71" s="34">
        <f>IF(E71+$E$69+$E$70+$E$71+$E$72=0,0,$F$5*$F$1/12*E71/($E$68+$E$69+$E$70+$E$71+$E$72))</f>
        <v>0</v>
      </c>
      <c r="E71" s="35">
        <f>IF($A$47=3,12,0)</f>
        <v>0</v>
      </c>
      <c r="F71" s="34"/>
      <c r="G71" s="22">
        <f>IF(G51="",0,D73*G51/10)</f>
        <v>0</v>
      </c>
    </row>
    <row r="72" spans="1:9" x14ac:dyDescent="0.15">
      <c r="A72" s="34">
        <f>IF(E72=0,0,$F$2*L34)</f>
        <v>0</v>
      </c>
      <c r="B72" s="34">
        <f>IF(E72=0,0,ROUNDDOWN(($F$3*M34),0))</f>
        <v>0</v>
      </c>
      <c r="C72" s="34">
        <f>$F$4*E72/12</f>
        <v>0</v>
      </c>
      <c r="D72" s="34">
        <f>IF(E72+$E$69+$E$70+$E$71+$E$72=0,0,$F$5*$F$1/12*E72/($E$68+$E$69+$E$70+$E$71+$E$72))</f>
        <v>0</v>
      </c>
      <c r="E72" s="35">
        <f>IF($A$48=3,12,0)</f>
        <v>0</v>
      </c>
      <c r="F72" s="34"/>
    </row>
    <row r="73" spans="1:9" x14ac:dyDescent="0.15">
      <c r="A73" s="34">
        <f>SUM(A68:A72)</f>
        <v>0</v>
      </c>
      <c r="B73" s="34">
        <f t="shared" ref="B73:C73" si="16">SUM(B68:B72)</f>
        <v>0</v>
      </c>
      <c r="C73" s="34">
        <f t="shared" si="16"/>
        <v>0</v>
      </c>
      <c r="D73" s="34">
        <f>SUM(D68:D72)</f>
        <v>0</v>
      </c>
      <c r="E73" s="34">
        <f>IF(D1=12,A73+B73+C73+D73,F68+F69+F70+F71+F72)</f>
        <v>0</v>
      </c>
      <c r="F73" s="34" t="str">
        <f>IF(F6&gt;A73+B73+C73+D73,"OK","NG")</f>
        <v>OK</v>
      </c>
      <c r="G73" s="22">
        <f>IF(E73&gt;F6,F6,E73)</f>
        <v>0</v>
      </c>
      <c r="H73" s="34">
        <f>E73-G73</f>
        <v>0</v>
      </c>
      <c r="I73" s="7" t="s">
        <v>106</v>
      </c>
    </row>
  </sheetData>
  <mergeCells count="81">
    <mergeCell ref="O28:O33"/>
    <mergeCell ref="O16:O21"/>
    <mergeCell ref="J34:J39"/>
    <mergeCell ref="L22:L27"/>
    <mergeCell ref="M22:M27"/>
    <mergeCell ref="K16:K21"/>
    <mergeCell ref="K22:K27"/>
    <mergeCell ref="I34:I39"/>
    <mergeCell ref="N28:N33"/>
    <mergeCell ref="M28:M33"/>
    <mergeCell ref="L28:L33"/>
    <mergeCell ref="J28:J33"/>
    <mergeCell ref="I28:I33"/>
    <mergeCell ref="L34:L39"/>
    <mergeCell ref="M34:M39"/>
    <mergeCell ref="N34:N39"/>
    <mergeCell ref="K28:K33"/>
    <mergeCell ref="K34:K39"/>
    <mergeCell ref="M10:M15"/>
    <mergeCell ref="N10:N15"/>
    <mergeCell ref="J22:J27"/>
    <mergeCell ref="I22:I27"/>
    <mergeCell ref="N16:N21"/>
    <mergeCell ref="M16:M21"/>
    <mergeCell ref="L16:L21"/>
    <mergeCell ref="J16:J21"/>
    <mergeCell ref="I16:I21"/>
    <mergeCell ref="N22:N27"/>
    <mergeCell ref="K10:K15"/>
    <mergeCell ref="A37:A39"/>
    <mergeCell ref="C10:C15"/>
    <mergeCell ref="C16:C21"/>
    <mergeCell ref="C22:C27"/>
    <mergeCell ref="C28:C33"/>
    <mergeCell ref="C34:C39"/>
    <mergeCell ref="A10:A12"/>
    <mergeCell ref="A13:A15"/>
    <mergeCell ref="A16:A18"/>
    <mergeCell ref="A19:A21"/>
    <mergeCell ref="A22:A24"/>
    <mergeCell ref="A25:A27"/>
    <mergeCell ref="A28:A30"/>
    <mergeCell ref="A31:A33"/>
    <mergeCell ref="A34:A36"/>
    <mergeCell ref="B10:B12"/>
    <mergeCell ref="G9:H9"/>
    <mergeCell ref="H34:H39"/>
    <mergeCell ref="G34:G39"/>
    <mergeCell ref="H28:H33"/>
    <mergeCell ref="G28:G33"/>
    <mergeCell ref="H22:H27"/>
    <mergeCell ref="G22:G27"/>
    <mergeCell ref="H16:H21"/>
    <mergeCell ref="G16:G21"/>
    <mergeCell ref="H10:H15"/>
    <mergeCell ref="G10:G15"/>
    <mergeCell ref="O10:O15"/>
    <mergeCell ref="O34:O39"/>
    <mergeCell ref="O22:O27"/>
    <mergeCell ref="D10:D15"/>
    <mergeCell ref="D34:D39"/>
    <mergeCell ref="D28:D33"/>
    <mergeCell ref="F10:F15"/>
    <mergeCell ref="D22:D27"/>
    <mergeCell ref="D16:D21"/>
    <mergeCell ref="F34:F39"/>
    <mergeCell ref="F28:F33"/>
    <mergeCell ref="F22:F27"/>
    <mergeCell ref="F16:F21"/>
    <mergeCell ref="J10:J15"/>
    <mergeCell ref="I10:I15"/>
    <mergeCell ref="L10:L15"/>
    <mergeCell ref="B28:B30"/>
    <mergeCell ref="B31:B33"/>
    <mergeCell ref="B34:B36"/>
    <mergeCell ref="B37:B39"/>
    <mergeCell ref="B13:B15"/>
    <mergeCell ref="B16:B18"/>
    <mergeCell ref="B19:B21"/>
    <mergeCell ref="B22:B24"/>
    <mergeCell ref="B25:B27"/>
  </mergeCells>
  <phoneticPr fontId="2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U14"/>
  <sheetViews>
    <sheetView showGridLines="0" zoomScale="115" zoomScaleNormal="115" workbookViewId="0">
      <selection activeCell="R8" sqref="R8"/>
    </sheetView>
  </sheetViews>
  <sheetFormatPr defaultRowHeight="13.5" x14ac:dyDescent="0.15"/>
  <cols>
    <col min="1" max="1" width="4.25" style="44" bestFit="1" customWidth="1"/>
    <col min="2" max="2" width="12.625" style="44" bestFit="1" customWidth="1"/>
    <col min="3" max="4" width="7" style="44" bestFit="1" customWidth="1"/>
    <col min="5" max="6" width="8.5" style="44" bestFit="1" customWidth="1"/>
    <col min="7" max="8" width="7" style="44" bestFit="1" customWidth="1"/>
    <col min="9" max="10" width="7.625" style="44" bestFit="1" customWidth="1"/>
    <col min="11" max="11" width="7" style="55" bestFit="1" customWidth="1"/>
    <col min="12" max="12" width="7" style="44" bestFit="1" customWidth="1"/>
    <col min="13" max="14" width="7.625" style="44" bestFit="1" customWidth="1"/>
    <col min="15" max="16" width="9.5" style="44" bestFit="1" customWidth="1"/>
    <col min="17" max="18" width="9" style="44" customWidth="1"/>
    <col min="19" max="19" width="9.375" style="44" customWidth="1"/>
    <col min="20" max="20" width="6.75" style="44" bestFit="1" customWidth="1"/>
    <col min="21" max="21" width="10.75" style="44" customWidth="1"/>
    <col min="22" max="16384" width="9" style="44"/>
  </cols>
  <sheetData>
    <row r="1" spans="1:21" x14ac:dyDescent="0.15">
      <c r="A1" s="39" t="s">
        <v>7</v>
      </c>
      <c r="B1" s="39" t="s">
        <v>8</v>
      </c>
      <c r="C1" s="40" t="s">
        <v>9</v>
      </c>
      <c r="D1" s="40" t="s">
        <v>10</v>
      </c>
      <c r="E1" s="40" t="s">
        <v>11</v>
      </c>
      <c r="F1" s="40" t="s">
        <v>12</v>
      </c>
      <c r="G1" s="41" t="s">
        <v>13</v>
      </c>
      <c r="H1" s="41" t="s">
        <v>14</v>
      </c>
      <c r="I1" s="40" t="s">
        <v>15</v>
      </c>
      <c r="J1" s="40" t="s">
        <v>16</v>
      </c>
      <c r="K1" s="42" t="s">
        <v>17</v>
      </c>
      <c r="L1" s="41" t="s">
        <v>18</v>
      </c>
      <c r="M1" s="40" t="s">
        <v>19</v>
      </c>
      <c r="N1" s="40" t="s">
        <v>20</v>
      </c>
      <c r="O1" s="40" t="s">
        <v>21</v>
      </c>
      <c r="P1" s="43" t="s">
        <v>22</v>
      </c>
      <c r="Q1" s="43" t="s">
        <v>23</v>
      </c>
      <c r="R1" s="43" t="s">
        <v>115</v>
      </c>
      <c r="S1" s="43" t="s">
        <v>116</v>
      </c>
      <c r="T1" s="39" t="s">
        <v>24</v>
      </c>
      <c r="U1" s="39" t="s">
        <v>25</v>
      </c>
    </row>
    <row r="2" spans="1:21" x14ac:dyDescent="0.15">
      <c r="A2" s="45">
        <v>1</v>
      </c>
      <c r="B2" s="46">
        <v>30</v>
      </c>
      <c r="C2" s="47">
        <v>5.5E-2</v>
      </c>
      <c r="D2" s="47">
        <v>0.3</v>
      </c>
      <c r="E2" s="48">
        <v>23000</v>
      </c>
      <c r="F2" s="48">
        <v>29000</v>
      </c>
      <c r="G2" s="47">
        <v>0.02</v>
      </c>
      <c r="H2" s="47">
        <v>0.05</v>
      </c>
      <c r="I2" s="48">
        <v>8000</v>
      </c>
      <c r="J2" s="48">
        <v>9000</v>
      </c>
      <c r="K2" s="49">
        <v>0.02</v>
      </c>
      <c r="L2" s="47">
        <v>0.05</v>
      </c>
      <c r="M2" s="48">
        <v>12000</v>
      </c>
      <c r="N2" s="48">
        <v>9000</v>
      </c>
      <c r="O2" s="50">
        <v>580000</v>
      </c>
      <c r="P2" s="50">
        <v>190000</v>
      </c>
      <c r="Q2" s="50">
        <v>160000</v>
      </c>
      <c r="R2" s="50">
        <v>275000</v>
      </c>
      <c r="S2" s="50">
        <v>500000</v>
      </c>
      <c r="T2" s="51">
        <v>0</v>
      </c>
      <c r="U2" s="45" t="s">
        <v>26</v>
      </c>
    </row>
    <row r="3" spans="1:21" x14ac:dyDescent="0.15">
      <c r="A3" s="45">
        <v>2</v>
      </c>
      <c r="B3" s="46" t="s">
        <v>130</v>
      </c>
      <c r="C3" s="47">
        <v>7.4999999999999997E-2</v>
      </c>
      <c r="D3" s="47">
        <v>0.3</v>
      </c>
      <c r="E3" s="48">
        <v>23000</v>
      </c>
      <c r="F3" s="48">
        <v>29000</v>
      </c>
      <c r="G3" s="47">
        <v>0.04</v>
      </c>
      <c r="H3" s="47">
        <v>0.05</v>
      </c>
      <c r="I3" s="48">
        <v>9500</v>
      </c>
      <c r="J3" s="48">
        <v>9000</v>
      </c>
      <c r="K3" s="49">
        <v>0.02</v>
      </c>
      <c r="L3" s="47">
        <v>0.05</v>
      </c>
      <c r="M3" s="48">
        <v>12000</v>
      </c>
      <c r="N3" s="48">
        <v>9000</v>
      </c>
      <c r="O3" s="50">
        <v>610000</v>
      </c>
      <c r="P3" s="50">
        <v>190000</v>
      </c>
      <c r="Q3" s="50">
        <v>160000</v>
      </c>
      <c r="R3" s="50">
        <v>280000</v>
      </c>
      <c r="S3" s="50">
        <v>510000</v>
      </c>
      <c r="T3" s="51">
        <v>1</v>
      </c>
      <c r="U3" s="45" t="s">
        <v>124</v>
      </c>
    </row>
    <row r="4" spans="1:21" x14ac:dyDescent="0.15">
      <c r="A4" s="45">
        <v>3</v>
      </c>
      <c r="B4" s="46" t="s">
        <v>140</v>
      </c>
      <c r="C4" s="47">
        <v>7.4999999999999997E-2</v>
      </c>
      <c r="D4" s="47">
        <v>0</v>
      </c>
      <c r="E4" s="48">
        <v>23000</v>
      </c>
      <c r="F4" s="48">
        <v>29000</v>
      </c>
      <c r="G4" s="47">
        <v>0.03</v>
      </c>
      <c r="H4" s="47">
        <v>0</v>
      </c>
      <c r="I4" s="48">
        <v>8000</v>
      </c>
      <c r="J4" s="48">
        <v>9000</v>
      </c>
      <c r="K4" s="49">
        <v>0.02</v>
      </c>
      <c r="L4" s="47">
        <v>0</v>
      </c>
      <c r="M4" s="48">
        <v>12000</v>
      </c>
      <c r="N4" s="48">
        <v>9000</v>
      </c>
      <c r="O4" s="50">
        <v>630000</v>
      </c>
      <c r="P4" s="50">
        <v>190000</v>
      </c>
      <c r="Q4" s="50">
        <v>170000</v>
      </c>
      <c r="R4" s="50">
        <v>285000</v>
      </c>
      <c r="S4" s="50">
        <v>520000</v>
      </c>
      <c r="T4" s="51">
        <v>2</v>
      </c>
      <c r="U4" s="45" t="s">
        <v>125</v>
      </c>
    </row>
    <row r="5" spans="1:21" x14ac:dyDescent="0.15">
      <c r="A5" s="45">
        <v>4</v>
      </c>
      <c r="B5" s="46" t="s">
        <v>141</v>
      </c>
      <c r="C5" s="47">
        <v>7.0000000000000007E-2</v>
      </c>
      <c r="D5" s="47">
        <v>0</v>
      </c>
      <c r="E5" s="48">
        <v>23000</v>
      </c>
      <c r="F5" s="48">
        <v>29000</v>
      </c>
      <c r="G5" s="47">
        <v>0.03</v>
      </c>
      <c r="H5" s="47">
        <v>0</v>
      </c>
      <c r="I5" s="48">
        <v>8000</v>
      </c>
      <c r="J5" s="48">
        <v>9000</v>
      </c>
      <c r="K5" s="49">
        <v>0.02</v>
      </c>
      <c r="L5" s="47">
        <v>0</v>
      </c>
      <c r="M5" s="48">
        <v>10000</v>
      </c>
      <c r="N5" s="48">
        <v>7000</v>
      </c>
      <c r="O5" s="50">
        <v>630000</v>
      </c>
      <c r="P5" s="50">
        <v>190000</v>
      </c>
      <c r="Q5" s="50">
        <v>170000</v>
      </c>
      <c r="R5" s="50">
        <v>285000</v>
      </c>
      <c r="S5" s="50">
        <v>520000</v>
      </c>
      <c r="T5" s="51">
        <v>3</v>
      </c>
      <c r="U5" s="45" t="s">
        <v>126</v>
      </c>
    </row>
    <row r="6" spans="1:21" x14ac:dyDescent="0.15">
      <c r="A6" s="45">
        <v>5</v>
      </c>
      <c r="B6" s="46" t="s">
        <v>146</v>
      </c>
      <c r="C6" s="47">
        <v>7.0000000000000007E-2</v>
      </c>
      <c r="D6" s="47">
        <v>0</v>
      </c>
      <c r="E6" s="48">
        <v>23000</v>
      </c>
      <c r="F6" s="48">
        <v>25000</v>
      </c>
      <c r="G6" s="47">
        <v>0.03</v>
      </c>
      <c r="H6" s="47">
        <v>0</v>
      </c>
      <c r="I6" s="48">
        <v>8000</v>
      </c>
      <c r="J6" s="48">
        <v>8000</v>
      </c>
      <c r="K6" s="49">
        <v>0.02</v>
      </c>
      <c r="L6" s="47">
        <v>0</v>
      </c>
      <c r="M6" s="48">
        <v>8000</v>
      </c>
      <c r="N6" s="48">
        <v>6000</v>
      </c>
      <c r="O6" s="50">
        <v>650000</v>
      </c>
      <c r="P6" s="50">
        <v>200000</v>
      </c>
      <c r="Q6" s="50">
        <v>170000</v>
      </c>
      <c r="R6" s="50">
        <v>285000</v>
      </c>
      <c r="S6" s="50">
        <v>520000</v>
      </c>
      <c r="T6" s="51">
        <v>4</v>
      </c>
      <c r="U6" s="52"/>
    </row>
    <row r="7" spans="1:21" x14ac:dyDescent="0.15">
      <c r="A7" s="45">
        <v>6</v>
      </c>
      <c r="B7" s="46" t="s">
        <v>152</v>
      </c>
      <c r="C7" s="47">
        <v>7.3999999999999996E-2</v>
      </c>
      <c r="D7" s="47">
        <v>0</v>
      </c>
      <c r="E7" s="48">
        <v>23000</v>
      </c>
      <c r="F7" s="48">
        <v>25000</v>
      </c>
      <c r="G7" s="47">
        <v>0.03</v>
      </c>
      <c r="H7" s="47">
        <v>0</v>
      </c>
      <c r="I7" s="48">
        <v>8000</v>
      </c>
      <c r="J7" s="48">
        <v>8000</v>
      </c>
      <c r="K7" s="49">
        <v>0.02</v>
      </c>
      <c r="L7" s="47">
        <v>0</v>
      </c>
      <c r="M7" s="48">
        <v>8000</v>
      </c>
      <c r="N7" s="48">
        <v>6000</v>
      </c>
      <c r="O7" s="50">
        <v>650000</v>
      </c>
      <c r="P7" s="50">
        <v>200000</v>
      </c>
      <c r="Q7" s="50">
        <v>170000</v>
      </c>
      <c r="R7" s="50">
        <v>290000</v>
      </c>
      <c r="S7" s="50">
        <v>535000</v>
      </c>
      <c r="T7" s="51">
        <v>5</v>
      </c>
      <c r="U7" s="52"/>
    </row>
    <row r="8" spans="1:21" x14ac:dyDescent="0.15">
      <c r="A8" s="45">
        <v>7</v>
      </c>
      <c r="B8" s="46"/>
      <c r="C8" s="47"/>
      <c r="D8" s="47"/>
      <c r="E8" s="48"/>
      <c r="F8" s="48"/>
      <c r="G8" s="47"/>
      <c r="H8" s="47"/>
      <c r="I8" s="48"/>
      <c r="J8" s="48"/>
      <c r="K8" s="49"/>
      <c r="L8" s="47"/>
      <c r="M8" s="48"/>
      <c r="N8" s="48"/>
      <c r="O8" s="50"/>
      <c r="P8" s="50"/>
      <c r="Q8" s="50"/>
      <c r="R8" s="50"/>
      <c r="S8" s="50"/>
      <c r="T8" s="51">
        <v>6</v>
      </c>
      <c r="U8" s="52"/>
    </row>
    <row r="9" spans="1:21" x14ac:dyDescent="0.15">
      <c r="A9" s="45">
        <v>8</v>
      </c>
      <c r="B9" s="46"/>
      <c r="C9" s="47"/>
      <c r="D9" s="47"/>
      <c r="E9" s="48"/>
      <c r="F9" s="48"/>
      <c r="G9" s="47"/>
      <c r="H9" s="47"/>
      <c r="I9" s="48"/>
      <c r="J9" s="48"/>
      <c r="K9" s="49"/>
      <c r="L9" s="47"/>
      <c r="M9" s="48"/>
      <c r="N9" s="48"/>
      <c r="O9" s="50"/>
      <c r="P9" s="50"/>
      <c r="Q9" s="50"/>
      <c r="R9" s="50"/>
      <c r="S9" s="50"/>
      <c r="T9" s="51">
        <v>7</v>
      </c>
      <c r="U9" s="52"/>
    </row>
    <row r="10" spans="1:21" x14ac:dyDescent="0.15">
      <c r="A10" s="45">
        <v>9</v>
      </c>
      <c r="B10" s="46"/>
      <c r="C10" s="53"/>
      <c r="D10" s="53"/>
      <c r="E10" s="50"/>
      <c r="F10" s="50"/>
      <c r="G10" s="53"/>
      <c r="H10" s="53"/>
      <c r="I10" s="50"/>
      <c r="J10" s="50"/>
      <c r="K10" s="54"/>
      <c r="L10" s="53"/>
      <c r="M10" s="50"/>
      <c r="N10" s="50"/>
      <c r="O10" s="50"/>
      <c r="P10" s="50"/>
      <c r="Q10" s="50"/>
      <c r="R10" s="50"/>
      <c r="S10" s="50"/>
      <c r="T10" s="51">
        <v>8</v>
      </c>
      <c r="U10" s="52"/>
    </row>
    <row r="11" spans="1:21" x14ac:dyDescent="0.15">
      <c r="A11" s="45">
        <v>10</v>
      </c>
      <c r="B11" s="46"/>
      <c r="C11" s="53"/>
      <c r="D11" s="53"/>
      <c r="E11" s="50"/>
      <c r="F11" s="50"/>
      <c r="G11" s="53"/>
      <c r="H11" s="53"/>
      <c r="I11" s="50"/>
      <c r="J11" s="50"/>
      <c r="K11" s="54"/>
      <c r="L11" s="53"/>
      <c r="M11" s="50"/>
      <c r="N11" s="50"/>
      <c r="O11" s="50"/>
      <c r="P11" s="50"/>
      <c r="Q11" s="50"/>
      <c r="R11" s="50"/>
      <c r="S11" s="50"/>
      <c r="T11" s="51">
        <v>9</v>
      </c>
      <c r="U11" s="52"/>
    </row>
    <row r="12" spans="1:21" x14ac:dyDescent="0.15">
      <c r="A12" s="45">
        <v>11</v>
      </c>
      <c r="B12" s="46"/>
      <c r="C12" s="53"/>
      <c r="D12" s="53"/>
      <c r="E12" s="50"/>
      <c r="F12" s="50"/>
      <c r="G12" s="53"/>
      <c r="H12" s="53"/>
      <c r="I12" s="50"/>
      <c r="J12" s="50"/>
      <c r="K12" s="54"/>
      <c r="L12" s="53"/>
      <c r="M12" s="50"/>
      <c r="N12" s="50"/>
      <c r="O12" s="50"/>
      <c r="P12" s="50"/>
      <c r="Q12" s="50"/>
      <c r="R12" s="50"/>
      <c r="S12" s="50"/>
      <c r="T12" s="51">
        <v>10</v>
      </c>
      <c r="U12" s="52"/>
    </row>
    <row r="13" spans="1:21" x14ac:dyDescent="0.15">
      <c r="A13" s="45">
        <v>12</v>
      </c>
      <c r="B13" s="46"/>
      <c r="C13" s="53"/>
      <c r="D13" s="53"/>
      <c r="E13" s="50"/>
      <c r="F13" s="50"/>
      <c r="G13" s="53"/>
      <c r="H13" s="53"/>
      <c r="I13" s="50"/>
      <c r="J13" s="50"/>
      <c r="K13" s="54"/>
      <c r="L13" s="53"/>
      <c r="M13" s="50"/>
      <c r="N13" s="50"/>
      <c r="O13" s="50"/>
      <c r="P13" s="50"/>
      <c r="Q13" s="50"/>
      <c r="R13" s="50"/>
      <c r="S13" s="50"/>
      <c r="T13" s="51">
        <v>11</v>
      </c>
      <c r="U13" s="52"/>
    </row>
    <row r="14" spans="1:21" x14ac:dyDescent="0.15">
      <c r="A14" s="45">
        <v>13</v>
      </c>
      <c r="B14" s="46"/>
      <c r="C14" s="53"/>
      <c r="D14" s="53"/>
      <c r="E14" s="50"/>
      <c r="F14" s="50"/>
      <c r="G14" s="53"/>
      <c r="H14" s="53"/>
      <c r="I14" s="50"/>
      <c r="J14" s="50"/>
      <c r="K14" s="54"/>
      <c r="L14" s="53"/>
      <c r="M14" s="50"/>
      <c r="N14" s="50"/>
      <c r="O14" s="50"/>
      <c r="P14" s="50"/>
      <c r="Q14" s="50"/>
      <c r="R14" s="50"/>
      <c r="S14" s="50"/>
      <c r="T14" s="51">
        <v>12</v>
      </c>
      <c r="U14" s="52"/>
    </row>
  </sheetData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試算シート</vt:lpstr>
      <vt:lpstr>計算シート</vt:lpstr>
      <vt:lpstr>算定基礎データ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takizawa</dc:creator>
  <cp:lastModifiedBy>us006</cp:lastModifiedBy>
  <cp:lastPrinted>2022-05-26T05:19:24Z</cp:lastPrinted>
  <dcterms:modified xsi:type="dcterms:W3CDTF">2023-06-02T08:05:04Z</dcterms:modified>
</cp:coreProperties>
</file>